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Assumptions" sheetId="2" state="visible" r:id="rId2"/>
    <sheet xmlns:r="http://schemas.openxmlformats.org/officeDocument/2006/relationships" name="Forecast" sheetId="3" state="visible" r:id="rId3"/>
    <sheet xmlns:r="http://schemas.openxmlformats.org/officeDocument/2006/relationships" name="Bridge" sheetId="4" state="visible" r:id="rId4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3">
    <numFmt numFmtId="164" formatCode="dd\-mmm\-yy"/>
    <numFmt numFmtId="165" formatCode="#,##0_);\(#,##0\)"/>
    <numFmt numFmtId="166" formatCode="0.0%"/>
  </numFmts>
  <fonts count="1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i val="1"/>
      <color rgb="FF595959"/>
      <sz val="9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00000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b val="1"/>
      <color rgb="FF0000FF"/>
      <sz val="11"/>
    </font>
    <font>
      <name val="Arial"/>
      <charset val="1"/>
      <family val="0"/>
      <b val="1"/>
      <i val="1"/>
      <color rgb="FF595959"/>
      <sz val="10"/>
    </font>
    <font>
      <name val="Arial"/>
      <charset val="1"/>
      <family val="0"/>
      <b val="1"/>
      <color rgb="FFFFFFFF"/>
      <sz val="10"/>
    </font>
    <font>
      <name val="Arial"/>
      <charset val="1"/>
      <family val="0"/>
      <color rgb="FF0000FF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FF"/>
      <sz val="10"/>
    </font>
    <font>
      <name val="Arial"/>
      <charset val="1"/>
      <family val="0"/>
      <b val="1"/>
      <color rgb="FFFFFFFF"/>
      <sz val="12"/>
    </font>
  </fonts>
  <fills count="12">
    <fill>
      <patternFill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5597"/>
        <bgColor rgb="FF1F3864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2EFDA"/>
      </patternFill>
    </fill>
    <fill>
      <patternFill patternType="solid">
        <fgColor rgb="FF4472C4"/>
        <bgColor rgb="FF2E5597"/>
      </patternFill>
    </fill>
    <fill>
      <patternFill patternType="solid">
        <fgColor rgb="FFFFFF00"/>
        <bgColor rgb="FFFFFF00"/>
      </patternFill>
    </fill>
    <fill>
      <patternFill patternType="solid">
        <fgColor rgb="FFDEEAF1"/>
        <bgColor rgb="FFE2EFDA"/>
      </patternFill>
    </fill>
    <fill>
      <patternFill patternType="solid">
        <fgColor rgb="FFBDD7EE"/>
        <bgColor rgb="FF99CCFF"/>
      </patternFill>
    </fill>
    <fill>
      <patternFill patternType="solid">
        <fgColor rgb="FFE2EFDA"/>
        <bgColor rgb="FFDEEAF1"/>
      </patternFill>
    </fill>
    <fill>
      <patternFill patternType="solid">
        <fgColor rgb="FFFCE4D6"/>
        <bgColor rgb="FFF2F2F2"/>
      </patternFill>
    </fill>
  </fills>
  <borders count="5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04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left" vertical="center"/>
    </xf>
    <xf numFmtId="0" fontId="6" fillId="3" borderId="0" applyAlignment="1" pivotButton="0" quotePrefix="0" xfId="0">
      <alignment horizontal="left" vertical="center"/>
    </xf>
    <xf numFmtId="0" fontId="7" fillId="4" borderId="1" applyAlignment="1" pivotButton="0" quotePrefix="0" xfId="0">
      <alignment horizontal="left" vertical="center" wrapText="1"/>
    </xf>
    <xf numFmtId="0" fontId="7" fillId="5" borderId="1" applyAlignment="1" pivotButton="0" quotePrefix="0" xfId="0">
      <alignment horizontal="left" vertical="center" wrapText="1"/>
    </xf>
    <xf numFmtId="0" fontId="7" fillId="4" borderId="2" applyAlignment="1" pivotButton="0" quotePrefix="0" xfId="0">
      <alignment horizontal="left" vertical="center" wrapText="1"/>
    </xf>
    <xf numFmtId="0" fontId="7" fillId="5" borderId="2" applyAlignment="1" pivotButton="0" quotePrefix="0" xfId="0">
      <alignment horizontal="left" vertical="center" wrapText="1"/>
    </xf>
    <xf numFmtId="0" fontId="8" fillId="2" borderId="0" applyAlignment="1" pivotButton="0" quotePrefix="0" xfId="0">
      <alignment horizontal="center" vertical="center"/>
    </xf>
    <xf numFmtId="0" fontId="6" fillId="6" borderId="2" applyAlignment="1" pivotButton="0" quotePrefix="0" xfId="0">
      <alignment horizontal="left" vertical="center"/>
    </xf>
    <xf numFmtId="0" fontId="9" fillId="7" borderId="2" applyAlignment="1" pivotButton="0" quotePrefix="0" xfId="0">
      <alignment horizontal="center" vertical="center"/>
    </xf>
    <xf numFmtId="0" fontId="10" fillId="0" borderId="2" applyAlignment="1" pivotButton="0" quotePrefix="0" xfId="0">
      <alignment horizontal="left" vertical="center"/>
    </xf>
    <xf numFmtId="0" fontId="11" fillId="6" borderId="2" applyAlignment="1" pivotButton="0" quotePrefix="0" xfId="0">
      <alignment horizontal="left" vertical="center"/>
    </xf>
    <xf numFmtId="0" fontId="11" fillId="6" borderId="2" applyAlignment="1" pivotButton="0" quotePrefix="0" xfId="0">
      <alignment horizontal="center" vertical="center"/>
    </xf>
    <xf numFmtId="0" fontId="11" fillId="3" borderId="1" applyAlignment="1" pivotButton="0" quotePrefix="0" xfId="0">
      <alignment horizontal="left" vertical="center"/>
    </xf>
    <xf numFmtId="0" fontId="7" fillId="7" borderId="2" applyAlignment="1" pivotButton="0" quotePrefix="0" xfId="0">
      <alignment horizontal="left" vertical="center"/>
    </xf>
    <xf numFmtId="164" fontId="12" fillId="8" borderId="2" applyAlignment="1" pivotButton="0" quotePrefix="0" xfId="0">
      <alignment horizontal="right" vertical="center"/>
    </xf>
    <xf numFmtId="0" fontId="5" fillId="0" borderId="2" applyAlignment="1" pivotButton="0" quotePrefix="0" xfId="0">
      <alignment horizontal="left" vertical="center" wrapText="1"/>
    </xf>
    <xf numFmtId="0" fontId="7" fillId="4" borderId="2" applyAlignment="1" pivotButton="0" quotePrefix="0" xfId="0">
      <alignment horizontal="left" vertical="center"/>
    </xf>
    <xf numFmtId="165" fontId="12" fillId="8" borderId="2" applyAlignment="1" pivotButton="0" quotePrefix="0" xfId="0">
      <alignment horizontal="right" vertical="center"/>
    </xf>
    <xf numFmtId="166" fontId="12" fillId="8" borderId="2" applyAlignment="1" pivotButton="0" quotePrefix="0" xfId="0">
      <alignment horizontal="right" vertical="center"/>
    </xf>
    <xf numFmtId="1" fontId="12" fillId="8" borderId="2" applyAlignment="1" pivotButton="0" quotePrefix="0" xfId="0">
      <alignment horizontal="right" vertical="center"/>
    </xf>
    <xf numFmtId="0" fontId="11" fillId="2" borderId="2" applyAlignment="1" pivotButton="0" quotePrefix="0" xfId="0">
      <alignment horizontal="left" vertical="center" wrapText="1"/>
    </xf>
    <xf numFmtId="0" fontId="11" fillId="2" borderId="2" applyAlignment="1" pivotButton="0" quotePrefix="0" xfId="0">
      <alignment horizontal="center" vertical="center" wrapText="1"/>
    </xf>
    <xf numFmtId="0" fontId="13" fillId="5" borderId="2" applyAlignment="1" pivotButton="0" quotePrefix="0" xfId="0">
      <alignment horizontal="left" vertical="center"/>
    </xf>
    <xf numFmtId="164" fontId="14" fillId="5" borderId="2" applyAlignment="1" pivotButton="0" quotePrefix="0" xfId="0">
      <alignment horizontal="center" vertical="center"/>
    </xf>
    <xf numFmtId="0" fontId="14" fillId="5" borderId="2" applyAlignment="1" pivotButton="0" quotePrefix="0" xfId="0">
      <alignment horizontal="center" vertical="center"/>
    </xf>
    <xf numFmtId="0" fontId="15" fillId="9" borderId="2" applyAlignment="1" pivotButton="0" quotePrefix="0" xfId="0">
      <alignment horizontal="left" vertical="center"/>
    </xf>
    <xf numFmtId="165" fontId="16" fillId="8" borderId="2" applyAlignment="1" pivotButton="0" quotePrefix="0" xfId="0">
      <alignment horizontal="right" vertical="center"/>
    </xf>
    <xf numFmtId="165" fontId="15" fillId="9" borderId="2" applyAlignment="1" pivotButton="0" quotePrefix="0" xfId="0">
      <alignment horizontal="right" vertical="center"/>
    </xf>
    <xf numFmtId="0" fontId="11" fillId="3" borderId="2" applyAlignment="1" pivotButton="0" quotePrefix="0" xfId="0">
      <alignment horizontal="left" vertical="center"/>
    </xf>
    <xf numFmtId="0" fontId="0" fillId="3" borderId="2" applyAlignment="1" pivotButton="0" quotePrefix="0" xfId="0">
      <alignment horizontal="general" vertical="bottom"/>
    </xf>
    <xf numFmtId="165" fontId="7" fillId="4" borderId="2" applyAlignment="1" pivotButton="0" quotePrefix="0" xfId="0">
      <alignment horizontal="right" vertical="center"/>
    </xf>
    <xf numFmtId="165" fontId="15" fillId="5" borderId="2" applyAlignment="1" pivotButton="0" quotePrefix="0" xfId="0">
      <alignment horizontal="right" vertical="center"/>
    </xf>
    <xf numFmtId="165" fontId="11" fillId="3" borderId="2" applyAlignment="1" pivotButton="0" quotePrefix="0" xfId="0">
      <alignment horizontal="right" vertical="center"/>
    </xf>
    <xf numFmtId="165" fontId="6" fillId="6" borderId="2" applyAlignment="1" pivotButton="0" quotePrefix="0" xfId="0">
      <alignment horizontal="right" vertical="center"/>
    </xf>
    <xf numFmtId="0" fontId="15" fillId="5" borderId="2" applyAlignment="1" pivotButton="0" quotePrefix="0" xfId="0">
      <alignment horizontal="left" vertical="center"/>
    </xf>
    <xf numFmtId="0" fontId="17" fillId="2" borderId="2" applyAlignment="1" pivotButton="0" quotePrefix="0" xfId="0">
      <alignment horizontal="left" vertical="center"/>
    </xf>
    <xf numFmtId="165" fontId="17" fillId="2" borderId="2" applyAlignment="1" pivotButton="0" quotePrefix="0" xfId="0">
      <alignment horizontal="right" vertical="center"/>
    </xf>
    <xf numFmtId="165" fontId="7" fillId="7" borderId="2" applyAlignment="1" pivotButton="0" quotePrefix="0" xfId="0">
      <alignment horizontal="right" vertical="center"/>
    </xf>
    <xf numFmtId="0" fontId="7" fillId="9" borderId="2" applyAlignment="1" pivotButton="0" quotePrefix="0" xfId="0">
      <alignment horizontal="left" vertical="center"/>
    </xf>
    <xf numFmtId="165" fontId="7" fillId="9" borderId="2" applyAlignment="1" pivotButton="0" quotePrefix="0" xfId="0">
      <alignment horizontal="right" vertical="center"/>
    </xf>
    <xf numFmtId="0" fontId="7" fillId="10" borderId="2" applyAlignment="1" pivotButton="0" quotePrefix="0" xfId="0">
      <alignment horizontal="left" vertical="center"/>
    </xf>
    <xf numFmtId="165" fontId="7" fillId="10" borderId="2" applyAlignment="1" pivotButton="0" quotePrefix="0" xfId="0">
      <alignment horizontal="right" vertical="center"/>
    </xf>
    <xf numFmtId="0" fontId="7" fillId="11" borderId="2" applyAlignment="1" pivotButton="0" quotePrefix="0" xfId="0">
      <alignment horizontal="left" vertical="center"/>
    </xf>
    <xf numFmtId="165" fontId="7" fillId="11" borderId="2" applyAlignment="1" pivotButton="0" quotePrefix="0" xfId="0">
      <alignment horizontal="right" vertical="center"/>
    </xf>
    <xf numFmtId="0" fontId="7" fillId="5" borderId="2" applyAlignment="1" pivotButton="0" quotePrefix="0" xfId="0">
      <alignment horizontal="left" vertical="center"/>
    </xf>
    <xf numFmtId="165" fontId="7" fillId="5" borderId="2" applyAlignment="1" pivotButton="0" quotePrefix="0" xfId="0">
      <alignment horizontal="right" vertical="center"/>
    </xf>
    <xf numFmtId="0" fontId="11" fillId="2" borderId="2" applyAlignment="1" pivotButton="0" quotePrefix="0" xfId="0">
      <alignment horizontal="left" vertical="center"/>
    </xf>
    <xf numFmtId="165" fontId="11" fillId="2" borderId="2" applyAlignment="1" pivotButton="0" quotePrefix="0" xfId="0">
      <alignment horizontal="right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left" vertical="center"/>
    </xf>
    <xf numFmtId="0" fontId="6" fillId="3" borderId="0" applyAlignment="1" pivotButton="0" quotePrefix="0" xfId="0">
      <alignment horizontal="left" vertical="center"/>
    </xf>
    <xf numFmtId="0" fontId="7" fillId="4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7" fillId="5" borderId="1" applyAlignment="1" pivotButton="0" quotePrefix="0" xfId="0">
      <alignment horizontal="left" vertical="center" wrapText="1"/>
    </xf>
    <xf numFmtId="0" fontId="7" fillId="4" borderId="2" applyAlignment="1" pivotButton="0" quotePrefix="0" xfId="0">
      <alignment horizontal="left" vertical="center" wrapText="1"/>
    </xf>
    <xf numFmtId="0" fontId="7" fillId="5" borderId="2" applyAlignment="1" pivotButton="0" quotePrefix="0" xfId="0">
      <alignment horizontal="left" vertical="center" wrapText="1"/>
    </xf>
    <xf numFmtId="0" fontId="8" fillId="2" borderId="0" applyAlignment="1" pivotButton="0" quotePrefix="0" xfId="0">
      <alignment horizontal="center" vertical="center"/>
    </xf>
    <xf numFmtId="0" fontId="6" fillId="6" borderId="2" applyAlignment="1" pivotButton="0" quotePrefix="0" xfId="0">
      <alignment horizontal="left" vertical="center"/>
    </xf>
    <xf numFmtId="0" fontId="9" fillId="7" borderId="2" applyAlignment="1" applyProtection="1" pivotButton="0" quotePrefix="0" xfId="0">
      <alignment horizontal="center" vertical="center"/>
      <protection locked="0" hidden="0"/>
    </xf>
    <xf numFmtId="0" fontId="10" fillId="0" borderId="2" applyAlignment="1" pivotButton="0" quotePrefix="0" xfId="0">
      <alignment horizontal="left" vertical="center"/>
    </xf>
    <xf numFmtId="0" fontId="11" fillId="6" borderId="2" applyAlignment="1" pivotButton="0" quotePrefix="0" xfId="0">
      <alignment horizontal="left" vertical="center"/>
    </xf>
    <xf numFmtId="0" fontId="11" fillId="6" borderId="2" applyAlignment="1" pivotButton="0" quotePrefix="0" xfId="0">
      <alignment horizontal="center" vertical="center"/>
    </xf>
    <xf numFmtId="0" fontId="11" fillId="3" borderId="1" applyAlignment="1" pivotButton="0" quotePrefix="0" xfId="0">
      <alignment horizontal="left" vertical="center"/>
    </xf>
    <xf numFmtId="0" fontId="7" fillId="7" borderId="2" applyAlignment="1" applyProtection="1" pivotButton="0" quotePrefix="0" xfId="0">
      <alignment horizontal="left" vertical="center"/>
      <protection locked="0" hidden="0"/>
    </xf>
    <xf numFmtId="164" fontId="12" fillId="8" borderId="2" applyAlignment="1" applyProtection="1" pivotButton="0" quotePrefix="0" xfId="0">
      <alignment horizontal="right" vertical="center"/>
      <protection locked="0" hidden="0"/>
    </xf>
    <xf numFmtId="0" fontId="5" fillId="0" borderId="2" applyAlignment="1" pivotButton="0" quotePrefix="0" xfId="0">
      <alignment horizontal="left" vertical="center" wrapText="1"/>
    </xf>
    <xf numFmtId="0" fontId="7" fillId="4" borderId="2" applyAlignment="1" pivotButton="0" quotePrefix="0" xfId="0">
      <alignment horizontal="left" vertical="center"/>
    </xf>
    <xf numFmtId="165" fontId="12" fillId="8" borderId="2" applyAlignment="1" applyProtection="1" pivotButton="0" quotePrefix="0" xfId="0">
      <alignment horizontal="right" vertical="center"/>
      <protection locked="0" hidden="0"/>
    </xf>
    <xf numFmtId="166" fontId="12" fillId="8" borderId="2" applyAlignment="1" applyProtection="1" pivotButton="0" quotePrefix="0" xfId="0">
      <alignment horizontal="right" vertical="center"/>
      <protection locked="0" hidden="0"/>
    </xf>
    <xf numFmtId="1" fontId="12" fillId="8" borderId="2" applyAlignment="1" applyProtection="1" pivotButton="0" quotePrefix="0" xfId="0">
      <alignment horizontal="right" vertical="center"/>
      <protection locked="0" hidden="0"/>
    </xf>
    <xf numFmtId="0" fontId="11" fillId="2" borderId="2" applyAlignment="1" pivotButton="0" quotePrefix="0" xfId="0">
      <alignment horizontal="left" vertical="center" wrapText="1"/>
    </xf>
    <xf numFmtId="0" fontId="11" fillId="2" borderId="2" applyAlignment="1" pivotButton="0" quotePrefix="0" xfId="0">
      <alignment horizontal="center" vertical="center" wrapText="1"/>
    </xf>
    <xf numFmtId="0" fontId="13" fillId="5" borderId="2" applyAlignment="1" pivotButton="0" quotePrefix="0" xfId="0">
      <alignment horizontal="left" vertical="center"/>
    </xf>
    <xf numFmtId="164" fontId="14" fillId="5" borderId="2" applyAlignment="1" pivotButton="0" quotePrefix="0" xfId="0">
      <alignment horizontal="center" vertical="center"/>
    </xf>
    <xf numFmtId="0" fontId="14" fillId="5" borderId="2" applyAlignment="1" pivotButton="0" quotePrefix="0" xfId="0">
      <alignment horizontal="center" vertical="center"/>
    </xf>
    <xf numFmtId="0" fontId="15" fillId="9" borderId="2" applyAlignment="1" pivotButton="0" quotePrefix="0" xfId="0">
      <alignment horizontal="left" vertical="center"/>
    </xf>
    <xf numFmtId="165" fontId="16" fillId="8" borderId="2" applyAlignment="1" applyProtection="1" pivotButton="0" quotePrefix="0" xfId="0">
      <alignment horizontal="right" vertical="center"/>
      <protection locked="0" hidden="0"/>
    </xf>
    <xf numFmtId="165" fontId="15" fillId="9" borderId="2" applyAlignment="1" pivotButton="0" quotePrefix="0" xfId="0">
      <alignment horizontal="right" vertical="center"/>
    </xf>
    <xf numFmtId="0" fontId="11" fillId="3" borderId="2" applyAlignment="1" pivotButton="0" quotePrefix="0" xfId="0">
      <alignment horizontal="left" vertical="center"/>
    </xf>
    <xf numFmtId="0" fontId="0" fillId="3" borderId="2" applyAlignment="1" pivotButton="0" quotePrefix="0" xfId="0">
      <alignment horizontal="general" vertical="bottom"/>
    </xf>
    <xf numFmtId="165" fontId="7" fillId="4" borderId="2" applyAlignment="1" pivotButton="0" quotePrefix="0" xfId="0">
      <alignment horizontal="right" vertical="center"/>
    </xf>
    <xf numFmtId="165" fontId="15" fillId="5" borderId="2" applyAlignment="1" pivotButton="0" quotePrefix="0" xfId="0">
      <alignment horizontal="right" vertical="center"/>
    </xf>
    <xf numFmtId="165" fontId="11" fillId="3" borderId="2" applyAlignment="1" pivotButton="0" quotePrefix="0" xfId="0">
      <alignment horizontal="right" vertical="center"/>
    </xf>
    <xf numFmtId="165" fontId="6" fillId="6" borderId="2" applyAlignment="1" pivotButton="0" quotePrefix="0" xfId="0">
      <alignment horizontal="right" vertical="center"/>
    </xf>
    <xf numFmtId="0" fontId="15" fillId="5" borderId="2" applyAlignment="1" pivotButton="0" quotePrefix="0" xfId="0">
      <alignment horizontal="left" vertical="center"/>
    </xf>
    <xf numFmtId="0" fontId="17" fillId="2" borderId="2" applyAlignment="1" pivotButton="0" quotePrefix="0" xfId="0">
      <alignment horizontal="left" vertical="center"/>
    </xf>
    <xf numFmtId="165" fontId="17" fillId="2" borderId="2" applyAlignment="1" pivotButton="0" quotePrefix="0" xfId="0">
      <alignment horizontal="right" vertical="center"/>
    </xf>
    <xf numFmtId="0" fontId="7" fillId="7" borderId="2" applyAlignment="1" pivotButton="0" quotePrefix="0" xfId="0">
      <alignment horizontal="left" vertical="center"/>
    </xf>
    <xf numFmtId="165" fontId="7" fillId="7" borderId="2" applyAlignment="1" pivotButton="0" quotePrefix="0" xfId="0">
      <alignment horizontal="right" vertical="center"/>
    </xf>
    <xf numFmtId="0" fontId="7" fillId="9" borderId="2" applyAlignment="1" pivotButton="0" quotePrefix="0" xfId="0">
      <alignment horizontal="left" vertical="center"/>
    </xf>
    <xf numFmtId="165" fontId="7" fillId="9" borderId="2" applyAlignment="1" pivotButton="0" quotePrefix="0" xfId="0">
      <alignment horizontal="right" vertical="center"/>
    </xf>
    <xf numFmtId="0" fontId="7" fillId="10" borderId="2" applyAlignment="1" pivotButton="0" quotePrefix="0" xfId="0">
      <alignment horizontal="left" vertical="center"/>
    </xf>
    <xf numFmtId="165" fontId="7" fillId="10" borderId="2" applyAlignment="1" pivotButton="0" quotePrefix="0" xfId="0">
      <alignment horizontal="right" vertical="center"/>
    </xf>
    <xf numFmtId="0" fontId="7" fillId="11" borderId="2" applyAlignment="1" pivotButton="0" quotePrefix="0" xfId="0">
      <alignment horizontal="left" vertical="center"/>
    </xf>
    <xf numFmtId="165" fontId="7" fillId="11" borderId="2" applyAlignment="1" pivotButton="0" quotePrefix="0" xfId="0">
      <alignment horizontal="right" vertical="center"/>
    </xf>
    <xf numFmtId="0" fontId="7" fillId="5" borderId="2" applyAlignment="1" pivotButton="0" quotePrefix="0" xfId="0">
      <alignment horizontal="left" vertical="center"/>
    </xf>
    <xf numFmtId="165" fontId="7" fillId="5" borderId="2" applyAlignment="1" pivotButton="0" quotePrefix="0" xfId="0">
      <alignment horizontal="right" vertical="center"/>
    </xf>
    <xf numFmtId="0" fontId="11" fillId="2" borderId="2" applyAlignment="1" pivotButton="0" quotePrefix="0" xfId="0">
      <alignment horizontal="left" vertical="center"/>
    </xf>
    <xf numFmtId="165" fontId="11" fillId="2" borderId="2" applyAlignment="1" pivotButton="0" quotePrefix="0" xfId="0">
      <alignment horizontal="right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DEEAF1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D6"/>
      <rgbColor rgb="FF4472C4"/>
      <rgbColor rgb="FF33CCCC"/>
      <rgbColor rgb="FF99CC00"/>
      <rgbColor rgb="FFFFCC00"/>
      <rgbColor rgb="FFFF9900"/>
      <rgbColor rgb="FFED7D31"/>
      <rgbColor rgb="FF595959"/>
      <rgbColor rgb="FF969696"/>
      <rgbColor rgb="FF1F3864"/>
      <rgbColor rgb="FF00B050"/>
      <rgbColor rgb="FF003300"/>
      <rgbColor rgb="FF333300"/>
      <rgbColor rgb="FF993300"/>
      <rgbColor rgb="FF993366"/>
      <rgbColor rgb="FF2E5597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tabColor rgb="FF1F3864"/>
    <outlinePr summaryBelow="1" summaryRight="1"/>
    <pageSetUpPr fitToPage="0"/>
  </sheetPr>
  <dimension ref="B1:C18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" customWidth="1" style="51" min="1" max="1"/>
    <col width="32" customWidth="1" style="51" min="2" max="2"/>
    <col width="65" customWidth="1" style="51" min="3" max="3"/>
  </cols>
  <sheetData>
    <row r="1" ht="39.75" customHeight="1" s="52">
      <c r="B1" s="53" t="inlineStr">
        <is>
          <t>13-Week Cash Flow Forecast (User Guide)</t>
        </is>
      </c>
    </row>
    <row r="2" ht="15.75" customHeight="1" s="52">
      <c r="B2" s="54" t="inlineStr">
        <is>
          <t>Select your currency in Assumptions cell C2. All labels update automatically.</t>
        </is>
      </c>
    </row>
    <row r="4" ht="19.5" customHeight="1" s="52">
      <c r="B4" s="55" t="inlineStr">
        <is>
          <t>How Currency Selection Works</t>
        </is>
      </c>
    </row>
    <row r="5" ht="27.75" customHeight="1" s="52">
      <c r="B5" s="56" t="inlineStr">
        <is>
          <t>1.  Go to the Assumptions tab.</t>
        </is>
      </c>
      <c r="C5" s="57" t="n"/>
    </row>
    <row r="6" ht="27.75" customHeight="1" s="52">
      <c r="B6" s="58" t="inlineStr">
        <is>
          <t>2.  In cell C2, use the dropdown to select: USD ($), GBP (£), or EUR (€).</t>
        </is>
      </c>
      <c r="C6" s="57" t="n"/>
    </row>
    <row r="7" ht="27.75" customHeight="1" s="52">
      <c r="B7" s="56" t="inlineStr">
        <is>
          <t>3.  The currency symbol displayed in all column headers across the Forecast and Bridge tabs will update instantly.</t>
        </is>
      </c>
      <c r="C7" s="57" t="n"/>
    </row>
    <row r="8" ht="27.75" customHeight="1" s="52">
      <c r="B8" s="58" t="inlineStr">
        <is>
          <t>4.  All numbers are formatted as plain thousands (the symbol appears in the header row of each section).</t>
        </is>
      </c>
      <c r="C8" s="57" t="n"/>
    </row>
    <row r="9" ht="27.75" customHeight="1" s="52">
      <c r="B9" s="56" t="inlineStr">
        <is>
          <t>5.  Colour coding: Blue = your inputs. Black = formulas. Yellow = key assumptions requiring attention.</t>
        </is>
      </c>
      <c r="C9" s="57" t="n"/>
    </row>
    <row r="10" ht="27.75" customHeight="1" s="52">
      <c r="B10" s="58" t="inlineStr">
        <is>
          <t>6.  Set your forecast start date in C5, fill in all other blue Assumptions cells, then enter your Week 1 opening cash in Forecast column C.</t>
        </is>
      </c>
      <c r="C10" s="57" t="n"/>
    </row>
    <row r="12" ht="19.5" customHeight="1" s="52">
      <c r="B12" s="55" t="inlineStr">
        <is>
          <t>Colour Legend</t>
        </is>
      </c>
    </row>
    <row r="13" ht="21.75" customHeight="1" s="52">
      <c r="B13" s="59" t="inlineStr">
        <is>
          <t>Blue text / light-blue background</t>
        </is>
      </c>
      <c r="C13" s="59" t="inlineStr">
        <is>
          <t>Input cell (enter your data here)</t>
        </is>
      </c>
    </row>
    <row r="14" ht="21.75" customHeight="1" s="52">
      <c r="B14" s="60" t="inlineStr">
        <is>
          <t>Black text / white background</t>
        </is>
      </c>
      <c r="C14" s="60" t="inlineStr">
        <is>
          <t>Formula (do not overwrite)</t>
        </is>
      </c>
    </row>
    <row r="15" ht="21.75" customHeight="1" s="52">
      <c r="B15" s="59" t="inlineStr">
        <is>
          <t>Black text / grey background</t>
        </is>
      </c>
      <c r="C15" s="59" t="inlineStr">
        <is>
          <t>Subtotal or total row (formula)</t>
        </is>
      </c>
    </row>
    <row r="16" ht="21.75" customHeight="1" s="52">
      <c r="B16" s="60" t="inlineStr">
        <is>
          <t>Yellow background</t>
        </is>
      </c>
      <c r="C16" s="60" t="inlineStr">
        <is>
          <t>Key assumption needing your attention</t>
        </is>
      </c>
    </row>
    <row r="17" ht="21.75" customHeight="1" s="52">
      <c r="B17" s="59" t="inlineStr">
        <is>
          <t>Dark navy row</t>
        </is>
      </c>
      <c r="C17" s="59" t="inlineStr">
        <is>
          <t>Major section heading</t>
        </is>
      </c>
    </row>
    <row r="18" ht="21.75" customHeight="1" s="52">
      <c r="B18" s="60" t="inlineStr">
        <is>
          <t>Medium navy row</t>
        </is>
      </c>
      <c r="C18" s="60" t="inlineStr">
        <is>
          <t>Sub-section heading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10">
    <mergeCell ref="B6:C6"/>
    <mergeCell ref="B2:C2"/>
    <mergeCell ref="B7:C7"/>
    <mergeCell ref="B5:C5"/>
    <mergeCell ref="B10:C10"/>
    <mergeCell ref="B9:C9"/>
    <mergeCell ref="B1:C1"/>
    <mergeCell ref="B8:C8"/>
    <mergeCell ref="B4:C4"/>
    <mergeCell ref="B12:C1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4472C4"/>
    <outlinePr summaryBelow="1" summaryRight="1"/>
    <pageSetUpPr fitToPage="0"/>
  </sheetPr>
  <dimension ref="B1:D44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" customWidth="1" style="51" min="1" max="1"/>
    <col width="40" customWidth="1" style="51" min="2" max="2"/>
    <col width="20" customWidth="1" style="51" min="3" max="3"/>
    <col width="45" customWidth="1" style="51" min="4" max="4"/>
  </cols>
  <sheetData>
    <row r="1" ht="36" customHeight="1" s="52">
      <c r="B1" s="61" t="inlineStr">
        <is>
          <t>Operating Assumptions</t>
        </is>
      </c>
    </row>
    <row r="2" ht="25.5" customHeight="1" s="52">
      <c r="B2" s="62" t="inlineStr">
        <is>
          <t>▶  CURRENCY SELECTION  ◀</t>
        </is>
      </c>
      <c r="C2" s="63" t="inlineStr">
        <is>
          <t>GBP (£)</t>
        </is>
      </c>
      <c r="D2" s="64" t="inlineStr">
        <is>
          <t>← Select from dropdown: USD ($), GBP (£), EUR (€)</t>
        </is>
      </c>
    </row>
    <row r="3" ht="18" customHeight="1" s="52">
      <c r="B3" s="65" t="inlineStr">
        <is>
          <t>Assumption</t>
        </is>
      </c>
      <c r="C3" s="66">
        <f>IF(C2="USD ($)","$",IF(C2="GBP (£)","£","€"))</f>
        <v/>
      </c>
      <c r="D3" s="65" t="inlineStr">
        <is>
          <t>Notes / Source</t>
        </is>
      </c>
    </row>
    <row r="4" ht="19.5" customHeight="1" s="52">
      <c r="B4" s="67" t="inlineStr">
        <is>
          <t>CALENDAR</t>
        </is>
      </c>
      <c r="C4" s="57" t="n"/>
      <c r="D4" s="57" t="n"/>
    </row>
    <row r="5" ht="19.5" customHeight="1" s="52">
      <c r="B5" s="68" t="inlineStr">
        <is>
          <t>Forecast Start Date (Monday of Week 1)</t>
        </is>
      </c>
      <c r="C5" s="69" t="inlineStr">
        <is>
          <t>2025-01-06</t>
        </is>
      </c>
      <c r="D5" s="70" t="inlineStr">
        <is>
          <t>Enter as YYYY-MM-DD or Excel date</t>
        </is>
      </c>
    </row>
    <row r="7" ht="19.5" customHeight="1" s="52">
      <c r="B7" s="67" t="inlineStr">
        <is>
          <t>REVENUE &amp; COLLECTIONS</t>
        </is>
      </c>
      <c r="C7" s="57" t="n"/>
      <c r="D7" s="57" t="n"/>
    </row>
    <row r="8" ht="19.5" customHeight="1" s="52">
      <c r="B8" s="71" t="inlineStr">
        <is>
          <t>Weekly Revenue (Base, Week 1)</t>
        </is>
      </c>
      <c r="C8" s="72" t="n">
        <v>500000</v>
      </c>
      <c r="D8" s="70" t="inlineStr">
        <is>
          <t>Enter actual or forecast revenue for Week 1</t>
        </is>
      </c>
    </row>
    <row r="9" ht="19.5" customHeight="1" s="52">
      <c r="B9" s="71" t="inlineStr">
        <is>
          <t>Weekly Revenue Growth Rate (WoW)</t>
        </is>
      </c>
      <c r="C9" s="73" t="n">
        <v>0.005</v>
      </c>
      <c r="D9" s="70" t="inlineStr">
        <is>
          <t>Week-over-week growth</t>
        </is>
      </c>
    </row>
    <row r="10" ht="19.5" customHeight="1" s="52">
      <c r="B10" s="71" t="inlineStr">
        <is>
          <t>Days Sales Outstanding (DSO)</t>
        </is>
      </c>
      <c r="C10" s="74" t="n">
        <v>45</v>
      </c>
      <c r="D10" s="70" t="inlineStr">
        <is>
          <t>Average days to collect receivables</t>
        </is>
      </c>
    </row>
    <row r="11" ht="19.5" customHeight="1" s="52">
      <c r="B11" s="71" t="inlineStr">
        <is>
          <t>Cash Sales % of Revenue</t>
        </is>
      </c>
      <c r="C11" s="73" t="n">
        <v>0.2</v>
      </c>
      <c r="D11" s="70" t="inlineStr">
        <is>
          <t>Collected same week</t>
        </is>
      </c>
    </row>
    <row r="12" ht="19.5" customHeight="1" s="52">
      <c r="B12" s="71" t="inlineStr">
        <is>
          <t>Collections Lag (weeks)</t>
        </is>
      </c>
      <c r="C12" s="74" t="n">
        <v>2</v>
      </c>
      <c r="D12" s="70" t="inlineStr">
        <is>
          <t>Weeks until credit sales collected</t>
        </is>
      </c>
    </row>
    <row r="14" ht="19.5" customHeight="1" s="52">
      <c r="B14" s="67" t="inlineStr">
        <is>
          <t>COST OF GOODS SOLD</t>
        </is>
      </c>
      <c r="C14" s="57" t="n"/>
      <c r="D14" s="57" t="n"/>
    </row>
    <row r="15" ht="19.5" customHeight="1" s="52">
      <c r="B15" s="71" t="inlineStr">
        <is>
          <t>COGS as % of Revenue</t>
        </is>
      </c>
      <c r="C15" s="73" t="n">
        <v>0.55</v>
      </c>
      <c r="D15" s="70" t="inlineStr">
        <is>
          <t>Direct material + labour + overhead</t>
        </is>
      </c>
    </row>
    <row r="16" ht="19.5" customHeight="1" s="52">
      <c r="B16" s="71" t="inlineStr">
        <is>
          <t>COGS Cash Payment Lag (weeks)</t>
        </is>
      </c>
      <c r="C16" s="74" t="n">
        <v>1</v>
      </c>
      <c r="D16" s="70" t="inlineStr">
        <is>
          <t>DPO proxy</t>
        </is>
      </c>
    </row>
    <row r="18" ht="19.5" customHeight="1" s="52">
      <c r="B18" s="67" t="inlineStr">
        <is>
          <t>OPERATING EXPENSES</t>
        </is>
      </c>
      <c r="C18" s="57" t="n"/>
      <c r="D18" s="57" t="n"/>
    </row>
    <row r="19" ht="19.5" customHeight="1" s="52">
      <c r="B19" s="71" t="inlineStr">
        <is>
          <t>Payroll (Weekly)</t>
        </is>
      </c>
      <c r="C19" s="72" t="n">
        <v>85000</v>
      </c>
      <c r="D19" s="70" t="inlineStr">
        <is>
          <t>Weekly payroll cost. Model pays (weekly amount x avg weeks per pay period) on each pay date.</t>
        </is>
      </c>
    </row>
    <row r="20" ht="19.5" customHeight="1" s="52">
      <c r="B20" s="71" t="inlineStr">
        <is>
          <t>Payroll Frequency (pay periods/mo)</t>
        </is>
      </c>
      <c r="C20" s="74" t="n">
        <v>2</v>
      </c>
      <c r="D20" s="70" t="inlineStr">
        <is>
          <t>1=monthly, 2=bi-weekly, 4=weekly</t>
        </is>
      </c>
    </row>
    <row r="21" ht="19.5" customHeight="1" s="52">
      <c r="B21" s="71" t="inlineStr">
        <is>
          <t>Rent / Facilities (Monthly)</t>
        </is>
      </c>
      <c r="C21" s="72" t="n">
        <v>18000</v>
      </c>
      <c r="D21" s="70" t="inlineStr">
        <is>
          <t>Lease + utilities; paid first week of month</t>
        </is>
      </c>
    </row>
    <row r="22" ht="19.5" customHeight="1" s="52">
      <c r="B22" s="71" t="inlineStr">
        <is>
          <t>Insurance (Monthly)</t>
        </is>
      </c>
      <c r="C22" s="72" t="n">
        <v>4500</v>
      </c>
      <c r="D22" s="70" t="inlineStr">
        <is>
          <t>All lines of insurance</t>
        </is>
      </c>
    </row>
    <row r="23" ht="19.5" customHeight="1" s="52">
      <c r="B23" s="71" t="inlineStr">
        <is>
          <t>IT &amp; Software (Monthly)</t>
        </is>
      </c>
      <c r="C23" s="72" t="n">
        <v>3200</v>
      </c>
      <c r="D23" s="70" t="inlineStr">
        <is>
          <t>SaaS + IT support</t>
        </is>
      </c>
    </row>
    <row r="24" ht="19.5" customHeight="1" s="52">
      <c r="B24" s="71" t="inlineStr">
        <is>
          <t>Marketing &amp; Advertising (Weekly)</t>
        </is>
      </c>
      <c r="C24" s="72" t="n">
        <v>8000</v>
      </c>
      <c r="D24" s="70" t="inlineStr">
        <is>
          <t>Paid media + agency retainer</t>
        </is>
      </c>
    </row>
    <row r="25" ht="19.5" customHeight="1" s="52">
      <c r="B25" s="71" t="inlineStr">
        <is>
          <t>Professional Fees (Weekly)</t>
        </is>
      </c>
      <c r="C25" s="72" t="n">
        <v>5000</v>
      </c>
      <c r="D25" s="70" t="inlineStr">
        <is>
          <t>Legal, accounting, consulting</t>
        </is>
      </c>
    </row>
    <row r="26" ht="19.5" customHeight="1" s="52">
      <c r="B26" s="71" t="inlineStr">
        <is>
          <t>Other Operating Expenses (Weekly)</t>
        </is>
      </c>
      <c r="C26" s="72" t="n">
        <v>3500</v>
      </c>
      <c r="D26" s="70" t="inlineStr">
        <is>
          <t>Miscellaneous opex</t>
        </is>
      </c>
    </row>
    <row r="28" ht="19.5" customHeight="1" s="52">
      <c r="B28" s="67" t="inlineStr">
        <is>
          <t>CAPITAL EXPENDITURES</t>
        </is>
      </c>
      <c r="C28" s="57" t="n"/>
      <c r="D28" s="57" t="n"/>
    </row>
    <row r="29" ht="19.5" customHeight="1" s="52">
      <c r="B29" s="68" t="inlineStr">
        <is>
          <t>Planned CapEx (total 13-week period)</t>
        </is>
      </c>
      <c r="C29" s="72" t="n">
        <v>0</v>
      </c>
      <c r="D29" s="70" t="inlineStr">
        <is>
          <t>One-off spend; 0 if none</t>
        </is>
      </c>
    </row>
    <row r="30" ht="19.5" customHeight="1" s="52">
      <c r="B30" s="71" t="inlineStr">
        <is>
          <t>CapEx Payment Week</t>
        </is>
      </c>
      <c r="C30" s="74" t="n">
        <v>1</v>
      </c>
      <c r="D30" s="70" t="inlineStr">
        <is>
          <t>Which week (1–13)</t>
        </is>
      </c>
    </row>
    <row r="32" ht="19.5" customHeight="1" s="52">
      <c r="B32" s="67" t="inlineStr">
        <is>
          <t>FINANCING</t>
        </is>
      </c>
      <c r="C32" s="57" t="n"/>
      <c r="D32" s="57" t="n"/>
    </row>
    <row r="33" ht="19.5" customHeight="1" s="52">
      <c r="B33" s="71" t="inlineStr">
        <is>
          <t>Revolving Credit Facility (Limit)</t>
        </is>
      </c>
      <c r="C33" s="72" t="n">
        <v>2000000</v>
      </c>
      <c r="D33" s="70" t="inlineStr">
        <is>
          <t>Maximum draw on revolver</t>
        </is>
      </c>
    </row>
    <row r="34" ht="19.5" customHeight="1" s="52">
      <c r="B34" s="71" t="inlineStr">
        <is>
          <t>Opening Revolver Balance</t>
        </is>
      </c>
      <c r="C34" s="72" t="n">
        <v>0</v>
      </c>
      <c r="D34" s="70" t="inlineStr">
        <is>
          <t>Amount drawn at forecast start</t>
        </is>
      </c>
    </row>
    <row r="35" ht="19.5" customHeight="1" s="52">
      <c r="B35" s="71" t="inlineStr">
        <is>
          <t>Revolver Interest Rate (Annual)</t>
        </is>
      </c>
      <c r="C35" s="73" t="n">
        <v>0.065</v>
      </c>
      <c r="D35" s="70" t="inlineStr">
        <is>
          <t>Annual rate; model converts to weekly</t>
        </is>
      </c>
    </row>
    <row r="36" ht="19.5" customHeight="1" s="52">
      <c r="B36" s="71" t="inlineStr">
        <is>
          <t>Term Loan Repayment (Weekly)</t>
        </is>
      </c>
      <c r="C36" s="72" t="n">
        <v>0</v>
      </c>
      <c r="D36" s="70" t="inlineStr">
        <is>
          <t>Scheduled principal repayment per week</t>
        </is>
      </c>
    </row>
    <row r="37" ht="19.5" customHeight="1" s="52">
      <c r="B37" s="71" t="inlineStr">
        <is>
          <t>Dividend / Distribution (Weekly)</t>
        </is>
      </c>
      <c r="C37" s="72" t="n">
        <v>0</v>
      </c>
      <c r="D37" s="70" t="inlineStr">
        <is>
          <t>Owner distributions; 0 if none</t>
        </is>
      </c>
    </row>
    <row r="39" ht="19.5" customHeight="1" s="52">
      <c r="B39" s="67" t="inlineStr">
        <is>
          <t>TAXES</t>
        </is>
      </c>
      <c r="C39" s="57" t="n"/>
      <c r="D39" s="57" t="n"/>
    </row>
    <row r="40" ht="19.5" customHeight="1" s="52">
      <c r="B40" s="68" t="inlineStr">
        <is>
          <t>Estimated Tax Payment (total period)</t>
        </is>
      </c>
      <c r="C40" s="72" t="n">
        <v>0</v>
      </c>
      <c r="D40" s="70" t="inlineStr">
        <is>
          <t>Quarterly estimated tax if due within 13 wks</t>
        </is>
      </c>
    </row>
    <row r="41" ht="19.5" customHeight="1" s="52">
      <c r="B41" s="71" t="inlineStr">
        <is>
          <t>Tax Payment Week</t>
        </is>
      </c>
      <c r="C41" s="74" t="n">
        <v>1</v>
      </c>
      <c r="D41" s="70" t="inlineStr">
        <is>
          <t>Which week (1–13)</t>
        </is>
      </c>
    </row>
    <row r="43" ht="19.5" customHeight="1" s="52">
      <c r="B43" s="67" t="inlineStr">
        <is>
          <t>MINIMUM CASH TARGET</t>
        </is>
      </c>
      <c r="C43" s="57" t="n"/>
      <c r="D43" s="57" t="n"/>
    </row>
    <row r="44" ht="19.5" customHeight="1" s="52">
      <c r="B44" s="68" t="inlineStr">
        <is>
          <t>Minimum Acceptable Cash Balance</t>
        </is>
      </c>
      <c r="C44" s="72" t="n">
        <v>150000</v>
      </c>
      <c r="D44" s="70" t="inlineStr">
        <is>
          <t>Covenant minimum or management floor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9">
    <mergeCell ref="B28:D28"/>
    <mergeCell ref="B14:D14"/>
    <mergeCell ref="B1:D1"/>
    <mergeCell ref="B32:D32"/>
    <mergeCell ref="B4:D4"/>
    <mergeCell ref="B18:D18"/>
    <mergeCell ref="B43:D43"/>
    <mergeCell ref="B39:D39"/>
    <mergeCell ref="B7:D7"/>
  </mergeCells>
  <dataValidations count="1">
    <dataValidation sqref="C2" showDropDown="0" showInputMessage="0" showErrorMessage="0" allowBlank="0" type="list" errorStyle="stop" operator="between">
      <formula1>"USD ($),GBP (£),EUR (€)"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00B050"/>
    <outlinePr summaryBelow="1" summaryRight="1"/>
    <pageSetUpPr fitToPage="0"/>
  </sheetPr>
  <dimension ref="B1:P50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1" activeCellId="0" sqref="A1"/>
    </sheetView>
  </sheetViews>
  <sheetFormatPr baseColWidth="8" defaultColWidth="8.6796875" defaultRowHeight="15" zeroHeight="0" outlineLevelRow="0"/>
  <cols>
    <col width="2" customWidth="1" style="51" min="1" max="1"/>
    <col width="40" customWidth="1" style="51" min="2" max="2"/>
    <col width="13" customWidth="1" style="51" min="3" max="16"/>
  </cols>
  <sheetData>
    <row r="1" ht="37.5" customHeight="1" s="52">
      <c r="B1" s="53" t="inlineStr">
        <is>
          <t>13-Week Cash Flow Forecast</t>
        </is>
      </c>
    </row>
    <row r="2" ht="15.75" customHeight="1" s="52">
      <c r="B2" s="54">
        <f>"All amounts in "&amp;Assumptions!C2&amp;". Blue = input. Black = formula. Currency symbol shown in section headers."</f>
        <v/>
      </c>
    </row>
    <row r="4" ht="21.75" customHeight="1" s="52">
      <c r="B4" s="75" t="inlineStr">
        <is>
          <t>WEEK →</t>
        </is>
      </c>
      <c r="C4" s="76" t="inlineStr">
        <is>
          <t>Wk 1</t>
        </is>
      </c>
      <c r="D4" s="76" t="inlineStr">
        <is>
          <t>Wk 2</t>
        </is>
      </c>
      <c r="E4" s="76" t="inlineStr">
        <is>
          <t>Wk 3</t>
        </is>
      </c>
      <c r="F4" s="76" t="inlineStr">
        <is>
          <t>Wk 4</t>
        </is>
      </c>
      <c r="G4" s="76" t="inlineStr">
        <is>
          <t>Wk 5</t>
        </is>
      </c>
      <c r="H4" s="76" t="inlineStr">
        <is>
          <t>Wk 6</t>
        </is>
      </c>
      <c r="I4" s="76" t="inlineStr">
        <is>
          <t>Wk 7</t>
        </is>
      </c>
      <c r="J4" s="76" t="inlineStr">
        <is>
          <t>Wk 8</t>
        </is>
      </c>
      <c r="K4" s="76" t="inlineStr">
        <is>
          <t>Wk 9</t>
        </is>
      </c>
      <c r="L4" s="76" t="inlineStr">
        <is>
          <t>Wk 10</t>
        </is>
      </c>
      <c r="M4" s="76" t="inlineStr">
        <is>
          <t>Wk 11</t>
        </is>
      </c>
      <c r="N4" s="76" t="inlineStr">
        <is>
          <t>Wk 12</t>
        </is>
      </c>
      <c r="O4" s="76" t="inlineStr">
        <is>
          <t>Wk 13</t>
        </is>
      </c>
      <c r="P4" s="76" t="inlineStr">
        <is>
          <t>13-Wk Total</t>
        </is>
      </c>
    </row>
    <row r="5" ht="19.5" customHeight="1" s="52">
      <c r="B5" s="77" t="inlineStr">
        <is>
          <t>Week Ending (Sunday)</t>
        </is>
      </c>
      <c r="C5" s="78">
        <f>Assumptions!C5+6</f>
        <v/>
      </c>
      <c r="D5" s="78">
        <f>C5+7</f>
        <v/>
      </c>
      <c r="E5" s="78">
        <f>D5+7</f>
        <v/>
      </c>
      <c r="F5" s="78">
        <f>E5+7</f>
        <v/>
      </c>
      <c r="G5" s="78">
        <f>F5+7</f>
        <v/>
      </c>
      <c r="H5" s="78">
        <f>G5+7</f>
        <v/>
      </c>
      <c r="I5" s="78">
        <f>H5+7</f>
        <v/>
      </c>
      <c r="J5" s="78">
        <f>I5+7</f>
        <v/>
      </c>
      <c r="K5" s="78">
        <f>J5+7</f>
        <v/>
      </c>
      <c r="L5" s="78">
        <f>K5+7</f>
        <v/>
      </c>
      <c r="M5" s="78">
        <f>L5+7</f>
        <v/>
      </c>
      <c r="N5" s="78">
        <f>M5+7</f>
        <v/>
      </c>
      <c r="O5" s="78">
        <f>N5+7</f>
        <v/>
      </c>
      <c r="P5" s="79" t="inlineStr">
        <is>
          <t>—</t>
        </is>
      </c>
    </row>
    <row r="6" ht="24" customHeight="1" s="52">
      <c r="B6" s="80">
        <f>"Opening Cash Balance ("&amp;Assumptions!C3&amp;")"</f>
        <v/>
      </c>
      <c r="C6" s="81" t="n">
        <v>250000</v>
      </c>
      <c r="D6" s="82">
        <f>C48</f>
        <v/>
      </c>
      <c r="E6" s="82">
        <f>D48</f>
        <v/>
      </c>
      <c r="F6" s="82">
        <f>E48</f>
        <v/>
      </c>
      <c r="G6" s="82">
        <f>F48</f>
        <v/>
      </c>
      <c r="H6" s="82">
        <f>G48</f>
        <v/>
      </c>
      <c r="I6" s="82">
        <f>H48</f>
        <v/>
      </c>
      <c r="J6" s="82">
        <f>I48</f>
        <v/>
      </c>
      <c r="K6" s="82">
        <f>J48</f>
        <v/>
      </c>
      <c r="L6" s="82">
        <f>K48</f>
        <v/>
      </c>
      <c r="M6" s="82">
        <f>L48</f>
        <v/>
      </c>
      <c r="N6" s="82">
        <f>M48</f>
        <v/>
      </c>
      <c r="O6" s="82">
        <f>N48</f>
        <v/>
      </c>
      <c r="P6" s="82">
        <f>C6</f>
        <v/>
      </c>
    </row>
    <row r="8" ht="21.75" customHeight="1" s="52">
      <c r="B8" s="83">
        <f>"▸  CASH INFLOWS ("&amp;Assumptions!C3&amp;")"</f>
        <v/>
      </c>
      <c r="C8" s="84" t="n"/>
      <c r="D8" s="84" t="n"/>
      <c r="E8" s="84" t="n"/>
      <c r="F8" s="84" t="n"/>
      <c r="G8" s="84" t="n"/>
      <c r="H8" s="84" t="n"/>
      <c r="I8" s="84" t="n"/>
      <c r="J8" s="84" t="n"/>
      <c r="K8" s="84" t="n"/>
      <c r="L8" s="84" t="n"/>
      <c r="M8" s="84" t="n"/>
      <c r="N8" s="84" t="n"/>
      <c r="O8" s="84" t="n"/>
      <c r="P8" s="84" t="n"/>
    </row>
    <row r="9" ht="19.5" customHeight="1" s="52">
      <c r="B9" s="71" t="inlineStr">
        <is>
          <t xml:space="preserve">    Cash Sales (collected same week)</t>
        </is>
      </c>
      <c r="C9" s="85">
        <f>Assumptions!C8*(1+Assumptions!C9)^0*Assumptions!C11</f>
        <v/>
      </c>
      <c r="D9" s="85">
        <f>Assumptions!C8*(1+Assumptions!C9)^1*Assumptions!C11</f>
        <v/>
      </c>
      <c r="E9" s="85">
        <f>Assumptions!C8*(1+Assumptions!C9)^2*Assumptions!C11</f>
        <v/>
      </c>
      <c r="F9" s="85">
        <f>Assumptions!C8*(1+Assumptions!C9)^3*Assumptions!C11</f>
        <v/>
      </c>
      <c r="G9" s="85">
        <f>Assumptions!C8*(1+Assumptions!C9)^4*Assumptions!C11</f>
        <v/>
      </c>
      <c r="H9" s="85">
        <f>Assumptions!C8*(1+Assumptions!C9)^5*Assumptions!C11</f>
        <v/>
      </c>
      <c r="I9" s="85">
        <f>Assumptions!C8*(1+Assumptions!C9)^6*Assumptions!C11</f>
        <v/>
      </c>
      <c r="J9" s="85">
        <f>Assumptions!C8*(1+Assumptions!C9)^7*Assumptions!C11</f>
        <v/>
      </c>
      <c r="K9" s="85">
        <f>Assumptions!C8*(1+Assumptions!C9)^8*Assumptions!C11</f>
        <v/>
      </c>
      <c r="L9" s="85">
        <f>Assumptions!C8*(1+Assumptions!C9)^9*Assumptions!C11</f>
        <v/>
      </c>
      <c r="M9" s="85">
        <f>Assumptions!C8*(1+Assumptions!C9)^10*Assumptions!C11</f>
        <v/>
      </c>
      <c r="N9" s="85">
        <f>Assumptions!C8*(1+Assumptions!C9)^11*Assumptions!C11</f>
        <v/>
      </c>
      <c r="O9" s="85">
        <f>Assumptions!C8*(1+Assumptions!C9)^12*Assumptions!C11</f>
        <v/>
      </c>
      <c r="P9" s="86">
        <f>SUM(C9:O9)</f>
        <v/>
      </c>
    </row>
    <row r="10" ht="19.5" customHeight="1" s="52">
      <c r="B10" s="71" t="inlineStr">
        <is>
          <t xml:space="preserve">    Collections on Credit Sales (lagged per DSO)</t>
        </is>
      </c>
      <c r="C10" s="85" t="n">
        <v>0</v>
      </c>
      <c r="D10" s="85" t="n">
        <v>0</v>
      </c>
      <c r="E10" s="85">
        <f>Assumptions!C8*(1+Assumptions!C9)^0*(1-Assumptions!C11)</f>
        <v/>
      </c>
      <c r="F10" s="85">
        <f>Assumptions!C8*(1+Assumptions!C9)^1*(1-Assumptions!C11)</f>
        <v/>
      </c>
      <c r="G10" s="85">
        <f>Assumptions!C8*(1+Assumptions!C9)^2*(1-Assumptions!C11)</f>
        <v/>
      </c>
      <c r="H10" s="85">
        <f>Assumptions!C8*(1+Assumptions!C9)^3*(1-Assumptions!C11)</f>
        <v/>
      </c>
      <c r="I10" s="85">
        <f>Assumptions!C8*(1+Assumptions!C9)^4*(1-Assumptions!C11)</f>
        <v/>
      </c>
      <c r="J10" s="85">
        <f>Assumptions!C8*(1+Assumptions!C9)^5*(1-Assumptions!C11)</f>
        <v/>
      </c>
      <c r="K10" s="85">
        <f>Assumptions!C8*(1+Assumptions!C9)^6*(1-Assumptions!C11)</f>
        <v/>
      </c>
      <c r="L10" s="85">
        <f>Assumptions!C8*(1+Assumptions!C9)^7*(1-Assumptions!C11)</f>
        <v/>
      </c>
      <c r="M10" s="85">
        <f>Assumptions!C8*(1+Assumptions!C9)^8*(1-Assumptions!C11)</f>
        <v/>
      </c>
      <c r="N10" s="85">
        <f>Assumptions!C8*(1+Assumptions!C9)^9*(1-Assumptions!C11)</f>
        <v/>
      </c>
      <c r="O10" s="85">
        <f>Assumptions!C8*(1+Assumptions!C9)^10*(1-Assumptions!C11)</f>
        <v/>
      </c>
      <c r="P10" s="86">
        <f>SUM(C10:O10)</f>
        <v/>
      </c>
    </row>
    <row r="11" ht="19.5" customHeight="1" s="52">
      <c r="B11" s="71" t="inlineStr">
        <is>
          <t xml:space="preserve">    Other Cash Inflows  [input: grants, asset sales, etc.]</t>
        </is>
      </c>
      <c r="C11" s="72" t="n">
        <v>0</v>
      </c>
      <c r="D11" s="72" t="n">
        <v>0</v>
      </c>
      <c r="E11" s="72" t="n">
        <v>0</v>
      </c>
      <c r="F11" s="72" t="n">
        <v>0</v>
      </c>
      <c r="G11" s="72" t="n">
        <v>0</v>
      </c>
      <c r="H11" s="72" t="n">
        <v>0</v>
      </c>
      <c r="I11" s="72" t="n">
        <v>0</v>
      </c>
      <c r="J11" s="72" t="n">
        <v>0</v>
      </c>
      <c r="K11" s="72" t="n">
        <v>0</v>
      </c>
      <c r="L11" s="72" t="n">
        <v>0</v>
      </c>
      <c r="M11" s="72" t="n">
        <v>0</v>
      </c>
      <c r="N11" s="72" t="n">
        <v>0</v>
      </c>
      <c r="O11" s="72" t="n">
        <v>0</v>
      </c>
      <c r="P11" s="86">
        <f>SUM(C11:O11)</f>
        <v/>
      </c>
    </row>
    <row r="12" ht="21.75" customHeight="1" s="52">
      <c r="B12" s="80">
        <f>"TOTAL CASH INFLOWS ("&amp;Assumptions!C3&amp;")"</f>
        <v/>
      </c>
      <c r="C12" s="82">
        <f>C9+C10+C11</f>
        <v/>
      </c>
      <c r="D12" s="82">
        <f>D9+D10+D11</f>
        <v/>
      </c>
      <c r="E12" s="82">
        <f>E9+E10+E11</f>
        <v/>
      </c>
      <c r="F12" s="82">
        <f>F9+F10+F11</f>
        <v/>
      </c>
      <c r="G12" s="82">
        <f>G9+G10+G11</f>
        <v/>
      </c>
      <c r="H12" s="82">
        <f>H9+H10+H11</f>
        <v/>
      </c>
      <c r="I12" s="82">
        <f>I9+I10+I11</f>
        <v/>
      </c>
      <c r="J12" s="82">
        <f>J9+J10+J11</f>
        <v/>
      </c>
      <c r="K12" s="82">
        <f>K9+K10+K11</f>
        <v/>
      </c>
      <c r="L12" s="82">
        <f>L9+L10+L11</f>
        <v/>
      </c>
      <c r="M12" s="82">
        <f>M9+M10+M11</f>
        <v/>
      </c>
      <c r="N12" s="82">
        <f>N9+N10+N11</f>
        <v/>
      </c>
      <c r="O12" s="82">
        <f>O9+O10+O11</f>
        <v/>
      </c>
      <c r="P12" s="82">
        <f>P9+P10+P11</f>
        <v/>
      </c>
    </row>
    <row r="14" ht="21.75" customHeight="1" s="52">
      <c r="B14" s="83">
        <f>"▸  COST OF GOODS SOLD ("&amp;Assumptions!C3&amp;")"</f>
        <v/>
      </c>
      <c r="C14" s="84" t="n"/>
      <c r="D14" s="84" t="n"/>
      <c r="E14" s="84" t="n"/>
      <c r="F14" s="84" t="n"/>
      <c r="G14" s="84" t="n"/>
      <c r="H14" s="84" t="n"/>
      <c r="I14" s="84" t="n"/>
      <c r="J14" s="84" t="n"/>
      <c r="K14" s="84" t="n"/>
      <c r="L14" s="84" t="n"/>
      <c r="M14" s="84" t="n"/>
      <c r="N14" s="84" t="n"/>
      <c r="O14" s="84" t="n"/>
      <c r="P14" s="84" t="n"/>
    </row>
    <row r="15" ht="19.5" customHeight="1" s="52">
      <c r="B15" s="71" t="inlineStr">
        <is>
          <t xml:space="preserve">    COGS Payments (lagged per DPO)</t>
        </is>
      </c>
      <c r="C15" s="85" t="n">
        <v>0</v>
      </c>
      <c r="D15" s="85">
        <f>Assumptions!C8*(1+Assumptions!C9)^0*Assumptions!C15</f>
        <v/>
      </c>
      <c r="E15" s="85">
        <f>Assumptions!C8*(1+Assumptions!C9)^1*Assumptions!C15</f>
        <v/>
      </c>
      <c r="F15" s="85">
        <f>Assumptions!C8*(1+Assumptions!C9)^2*Assumptions!C15</f>
        <v/>
      </c>
      <c r="G15" s="85">
        <f>Assumptions!C8*(1+Assumptions!C9)^3*Assumptions!C15</f>
        <v/>
      </c>
      <c r="H15" s="85">
        <f>Assumptions!C8*(1+Assumptions!C9)^4*Assumptions!C15</f>
        <v/>
      </c>
      <c r="I15" s="85">
        <f>Assumptions!C8*(1+Assumptions!C9)^5*Assumptions!C15</f>
        <v/>
      </c>
      <c r="J15" s="85">
        <f>Assumptions!C8*(1+Assumptions!C9)^6*Assumptions!C15</f>
        <v/>
      </c>
      <c r="K15" s="85">
        <f>Assumptions!C8*(1+Assumptions!C9)^7*Assumptions!C15</f>
        <v/>
      </c>
      <c r="L15" s="85">
        <f>Assumptions!C8*(1+Assumptions!C9)^8*Assumptions!C15</f>
        <v/>
      </c>
      <c r="M15" s="85">
        <f>Assumptions!C8*(1+Assumptions!C9)^9*Assumptions!C15</f>
        <v/>
      </c>
      <c r="N15" s="85">
        <f>Assumptions!C8*(1+Assumptions!C9)^10*Assumptions!C15</f>
        <v/>
      </c>
      <c r="O15" s="85">
        <f>Assumptions!C8*(1+Assumptions!C9)^11*Assumptions!C15</f>
        <v/>
      </c>
      <c r="P15" s="86">
        <f>SUM(C15:O15)</f>
        <v/>
      </c>
    </row>
    <row r="16" ht="21.75" customHeight="1" s="52">
      <c r="B16" s="80">
        <f>"TOTAL COGS ("&amp;Assumptions!C3&amp;")"</f>
        <v/>
      </c>
      <c r="C16" s="82">
        <f>C15</f>
        <v/>
      </c>
      <c r="D16" s="82">
        <f>D15</f>
        <v/>
      </c>
      <c r="E16" s="82">
        <f>E15</f>
        <v/>
      </c>
      <c r="F16" s="82">
        <f>F15</f>
        <v/>
      </c>
      <c r="G16" s="82">
        <f>G15</f>
        <v/>
      </c>
      <c r="H16" s="82">
        <f>H15</f>
        <v/>
      </c>
      <c r="I16" s="82">
        <f>I15</f>
        <v/>
      </c>
      <c r="J16" s="82">
        <f>J15</f>
        <v/>
      </c>
      <c r="K16" s="82">
        <f>K15</f>
        <v/>
      </c>
      <c r="L16" s="82">
        <f>L15</f>
        <v/>
      </c>
      <c r="M16" s="82">
        <f>M15</f>
        <v/>
      </c>
      <c r="N16" s="82">
        <f>N15</f>
        <v/>
      </c>
      <c r="O16" s="82">
        <f>O15</f>
        <v/>
      </c>
      <c r="P16" s="82">
        <f>P15</f>
        <v/>
      </c>
    </row>
    <row r="18" ht="21.75" customHeight="1" s="52">
      <c r="B18" s="83">
        <f>"▸  OPERATING EXPENSES ("&amp;Assumptions!C3&amp;")"</f>
        <v/>
      </c>
      <c r="C18" s="84" t="n"/>
      <c r="D18" s="84" t="n"/>
      <c r="E18" s="84" t="n"/>
      <c r="F18" s="84" t="n"/>
      <c r="G18" s="84" t="n"/>
      <c r="H18" s="84" t="n"/>
      <c r="I18" s="84" t="n"/>
      <c r="J18" s="84" t="n"/>
      <c r="K18" s="84" t="n"/>
      <c r="L18" s="84" t="n"/>
      <c r="M18" s="84" t="n"/>
      <c r="N18" s="84" t="n"/>
      <c r="O18" s="84" t="n"/>
      <c r="P18" s="84" t="n"/>
    </row>
    <row r="19" ht="19.5" customHeight="1" s="52">
      <c r="B19" s="71" t="inlineStr">
        <is>
          <t xml:space="preserve">    Payroll &amp; Benefits</t>
        </is>
      </c>
      <c r="C19" s="85">
        <f>IF(MOD(1,Assumptions!C20)=0,Assumptions!C19*(4.333/Assumptions!C20),0)</f>
        <v/>
      </c>
      <c r="D19" s="85">
        <f>IF(MOD(2,Assumptions!C20)=0,Assumptions!C19*(4.333/Assumptions!C20),0)</f>
        <v/>
      </c>
      <c r="E19" s="85">
        <f>IF(MOD(3,Assumptions!C20)=0,Assumptions!C19*(4.333/Assumptions!C20),0)</f>
        <v/>
      </c>
      <c r="F19" s="85">
        <f>IF(MOD(4,Assumptions!C20)=0,Assumptions!C19*(4.333/Assumptions!C20),0)</f>
        <v/>
      </c>
      <c r="G19" s="85">
        <f>IF(MOD(5,Assumptions!C20)=0,Assumptions!C19*(4.333/Assumptions!C20),0)</f>
        <v/>
      </c>
      <c r="H19" s="85">
        <f>IF(MOD(6,Assumptions!C20)=0,Assumptions!C19*(4.333/Assumptions!C20),0)</f>
        <v/>
      </c>
      <c r="I19" s="85">
        <f>IF(MOD(7,Assumptions!C20)=0,Assumptions!C19*(4.333/Assumptions!C20),0)</f>
        <v/>
      </c>
      <c r="J19" s="85">
        <f>IF(MOD(8,Assumptions!C20)=0,Assumptions!C19*(4.333/Assumptions!C20),0)</f>
        <v/>
      </c>
      <c r="K19" s="85">
        <f>IF(MOD(9,Assumptions!C20)=0,Assumptions!C19*(4.333/Assumptions!C20),0)</f>
        <v/>
      </c>
      <c r="L19" s="85">
        <f>IF(MOD(10,Assumptions!C20)=0,Assumptions!C19*(4.333/Assumptions!C20),0)</f>
        <v/>
      </c>
      <c r="M19" s="85">
        <f>IF(MOD(11,Assumptions!C20)=0,Assumptions!C19*(4.333/Assumptions!C20),0)</f>
        <v/>
      </c>
      <c r="N19" s="85">
        <f>IF(MOD(12,Assumptions!C20)=0,Assumptions!C19*(4.333/Assumptions!C20),0)</f>
        <v/>
      </c>
      <c r="O19" s="85">
        <f>IF(MOD(13,Assumptions!C20)=0,Assumptions!C19*(4.333/Assumptions!C20),0)</f>
        <v/>
      </c>
      <c r="P19" s="86">
        <f>SUM(C19:O19)</f>
        <v/>
      </c>
    </row>
    <row r="20" ht="19.5" customHeight="1" s="52">
      <c r="B20" s="71" t="inlineStr">
        <is>
          <t xml:space="preserve">    Rent / Facilities</t>
        </is>
      </c>
      <c r="C20" s="85">
        <f>Assumptions!C21</f>
        <v/>
      </c>
      <c r="D20" s="85" t="n">
        <v>0</v>
      </c>
      <c r="E20" s="85" t="n">
        <v>0</v>
      </c>
      <c r="F20" s="85" t="n">
        <v>0</v>
      </c>
      <c r="G20" s="85">
        <f>Assumptions!C21</f>
        <v/>
      </c>
      <c r="H20" s="85" t="n">
        <v>0</v>
      </c>
      <c r="I20" s="85" t="n">
        <v>0</v>
      </c>
      <c r="J20" s="85" t="n">
        <v>0</v>
      </c>
      <c r="K20" s="85">
        <f>Assumptions!C21</f>
        <v/>
      </c>
      <c r="L20" s="85" t="n">
        <v>0</v>
      </c>
      <c r="M20" s="85" t="n">
        <v>0</v>
      </c>
      <c r="N20" s="85" t="n">
        <v>0</v>
      </c>
      <c r="O20" s="85">
        <f>Assumptions!C21</f>
        <v/>
      </c>
      <c r="P20" s="86">
        <f>SUM(C20:O20)</f>
        <v/>
      </c>
    </row>
    <row r="21" ht="19.5" customHeight="1" s="52">
      <c r="B21" s="71" t="inlineStr">
        <is>
          <t xml:space="preserve">    Insurance</t>
        </is>
      </c>
      <c r="C21" s="85">
        <f>Assumptions!C22</f>
        <v/>
      </c>
      <c r="D21" s="85" t="n">
        <v>0</v>
      </c>
      <c r="E21" s="85" t="n">
        <v>0</v>
      </c>
      <c r="F21" s="85" t="n">
        <v>0</v>
      </c>
      <c r="G21" s="85">
        <f>Assumptions!C22</f>
        <v/>
      </c>
      <c r="H21" s="85" t="n">
        <v>0</v>
      </c>
      <c r="I21" s="85" t="n">
        <v>0</v>
      </c>
      <c r="J21" s="85" t="n">
        <v>0</v>
      </c>
      <c r="K21" s="85">
        <f>Assumptions!C22</f>
        <v/>
      </c>
      <c r="L21" s="85" t="n">
        <v>0</v>
      </c>
      <c r="M21" s="85" t="n">
        <v>0</v>
      </c>
      <c r="N21" s="85" t="n">
        <v>0</v>
      </c>
      <c r="O21" s="85">
        <f>Assumptions!C22</f>
        <v/>
      </c>
      <c r="P21" s="86">
        <f>SUM(C21:O21)</f>
        <v/>
      </c>
    </row>
    <row r="22" ht="19.5" customHeight="1" s="52">
      <c r="B22" s="71" t="inlineStr">
        <is>
          <t xml:space="preserve">    IT &amp; Software</t>
        </is>
      </c>
      <c r="C22" s="85">
        <f>Assumptions!C23</f>
        <v/>
      </c>
      <c r="D22" s="85" t="n">
        <v>0</v>
      </c>
      <c r="E22" s="85" t="n">
        <v>0</v>
      </c>
      <c r="F22" s="85" t="n">
        <v>0</v>
      </c>
      <c r="G22" s="85">
        <f>Assumptions!C23</f>
        <v/>
      </c>
      <c r="H22" s="85" t="n">
        <v>0</v>
      </c>
      <c r="I22" s="85" t="n">
        <v>0</v>
      </c>
      <c r="J22" s="85" t="n">
        <v>0</v>
      </c>
      <c r="K22" s="85">
        <f>Assumptions!C23</f>
        <v/>
      </c>
      <c r="L22" s="85" t="n">
        <v>0</v>
      </c>
      <c r="M22" s="85" t="n">
        <v>0</v>
      </c>
      <c r="N22" s="85" t="n">
        <v>0</v>
      </c>
      <c r="O22" s="85">
        <f>Assumptions!C23</f>
        <v/>
      </c>
      <c r="P22" s="86">
        <f>SUM(C22:O22)</f>
        <v/>
      </c>
    </row>
    <row r="23" ht="19.5" customHeight="1" s="52">
      <c r="B23" s="71" t="inlineStr">
        <is>
          <t xml:space="preserve">    Marketing &amp; Advertising</t>
        </is>
      </c>
      <c r="C23" s="85">
        <f>Assumptions!C24</f>
        <v/>
      </c>
      <c r="D23" s="85">
        <f>Assumptions!C24</f>
        <v/>
      </c>
      <c r="E23" s="85">
        <f>Assumptions!C24</f>
        <v/>
      </c>
      <c r="F23" s="85">
        <f>Assumptions!C24</f>
        <v/>
      </c>
      <c r="G23" s="85">
        <f>Assumptions!C24</f>
        <v/>
      </c>
      <c r="H23" s="85">
        <f>Assumptions!C24</f>
        <v/>
      </c>
      <c r="I23" s="85">
        <f>Assumptions!C24</f>
        <v/>
      </c>
      <c r="J23" s="85">
        <f>Assumptions!C24</f>
        <v/>
      </c>
      <c r="K23" s="85">
        <f>Assumptions!C24</f>
        <v/>
      </c>
      <c r="L23" s="85">
        <f>Assumptions!C24</f>
        <v/>
      </c>
      <c r="M23" s="85">
        <f>Assumptions!C24</f>
        <v/>
      </c>
      <c r="N23" s="85">
        <f>Assumptions!C24</f>
        <v/>
      </c>
      <c r="O23" s="85">
        <f>Assumptions!C24</f>
        <v/>
      </c>
      <c r="P23" s="86">
        <f>SUM(C23:O23)</f>
        <v/>
      </c>
    </row>
    <row r="24" ht="19.5" customHeight="1" s="52">
      <c r="B24" s="71" t="inlineStr">
        <is>
          <t xml:space="preserve">    Professional Fees</t>
        </is>
      </c>
      <c r="C24" s="85">
        <f>Assumptions!C25</f>
        <v/>
      </c>
      <c r="D24" s="85">
        <f>Assumptions!C25</f>
        <v/>
      </c>
      <c r="E24" s="85">
        <f>Assumptions!C25</f>
        <v/>
      </c>
      <c r="F24" s="85">
        <f>Assumptions!C25</f>
        <v/>
      </c>
      <c r="G24" s="85">
        <f>Assumptions!C25</f>
        <v/>
      </c>
      <c r="H24" s="85">
        <f>Assumptions!C25</f>
        <v/>
      </c>
      <c r="I24" s="85">
        <f>Assumptions!C25</f>
        <v/>
      </c>
      <c r="J24" s="85">
        <f>Assumptions!C25</f>
        <v/>
      </c>
      <c r="K24" s="85">
        <f>Assumptions!C25</f>
        <v/>
      </c>
      <c r="L24" s="85">
        <f>Assumptions!C25</f>
        <v/>
      </c>
      <c r="M24" s="85">
        <f>Assumptions!C25</f>
        <v/>
      </c>
      <c r="N24" s="85">
        <f>Assumptions!C25</f>
        <v/>
      </c>
      <c r="O24" s="85">
        <f>Assumptions!C25</f>
        <v/>
      </c>
      <c r="P24" s="86">
        <f>SUM(C24:O24)</f>
        <v/>
      </c>
    </row>
    <row r="25" ht="19.5" customHeight="1" s="52">
      <c r="B25" s="71" t="inlineStr">
        <is>
          <t xml:space="preserve">    Other Operating Expenses</t>
        </is>
      </c>
      <c r="C25" s="85">
        <f>Assumptions!C26</f>
        <v/>
      </c>
      <c r="D25" s="85">
        <f>Assumptions!C26</f>
        <v/>
      </c>
      <c r="E25" s="85">
        <f>Assumptions!C26</f>
        <v/>
      </c>
      <c r="F25" s="85">
        <f>Assumptions!C26</f>
        <v/>
      </c>
      <c r="G25" s="85">
        <f>Assumptions!C26</f>
        <v/>
      </c>
      <c r="H25" s="85">
        <f>Assumptions!C26</f>
        <v/>
      </c>
      <c r="I25" s="85">
        <f>Assumptions!C26</f>
        <v/>
      </c>
      <c r="J25" s="85">
        <f>Assumptions!C26</f>
        <v/>
      </c>
      <c r="K25" s="85">
        <f>Assumptions!C26</f>
        <v/>
      </c>
      <c r="L25" s="85">
        <f>Assumptions!C26</f>
        <v/>
      </c>
      <c r="M25" s="85">
        <f>Assumptions!C26</f>
        <v/>
      </c>
      <c r="N25" s="85">
        <f>Assumptions!C26</f>
        <v/>
      </c>
      <c r="O25" s="85">
        <f>Assumptions!C26</f>
        <v/>
      </c>
      <c r="P25" s="86">
        <f>SUM(C25:O25)</f>
        <v/>
      </c>
    </row>
    <row r="26" ht="21.75" customHeight="1" s="52">
      <c r="B26" s="80">
        <f>"TOTAL OPERATING EXPENSES ("&amp;Assumptions!C3&amp;")"</f>
        <v/>
      </c>
      <c r="C26" s="82">
        <f>C19+C20+C21+C22+C23+C24+C25</f>
        <v/>
      </c>
      <c r="D26" s="82">
        <f>D19+D20+D21+D22+D23+D24+D25</f>
        <v/>
      </c>
      <c r="E26" s="82">
        <f>E19+E20+E21+E22+E23+E24+E25</f>
        <v/>
      </c>
      <c r="F26" s="82">
        <f>F19+F20+F21+F22+F23+F24+F25</f>
        <v/>
      </c>
      <c r="G26" s="82">
        <f>G19+G20+G21+G22+G23+G24+G25</f>
        <v/>
      </c>
      <c r="H26" s="82">
        <f>H19+H20+H21+H22+H23+H24+H25</f>
        <v/>
      </c>
      <c r="I26" s="82">
        <f>I19+I20+I21+I22+I23+I24+I25</f>
        <v/>
      </c>
      <c r="J26" s="82">
        <f>J19+J20+J21+J22+J23+J24+J25</f>
        <v/>
      </c>
      <c r="K26" s="82">
        <f>K19+K20+K21+K22+K23+K24+K25</f>
        <v/>
      </c>
      <c r="L26" s="82">
        <f>L19+L20+L21+L22+L23+L24+L25</f>
        <v/>
      </c>
      <c r="M26" s="82">
        <f>M19+M20+M21+M22+M23+M24+M25</f>
        <v/>
      </c>
      <c r="N26" s="82">
        <f>N19+N20+N21+N22+N23+N24+N25</f>
        <v/>
      </c>
      <c r="O26" s="82">
        <f>O19+O20+O21+O22+O23+O24+O25</f>
        <v/>
      </c>
      <c r="P26" s="82">
        <f>P19+P20+P21+P22+P23+P24+P25</f>
        <v/>
      </c>
    </row>
    <row r="28" ht="21.75" customHeight="1" s="52">
      <c r="B28" s="83">
        <f>"▸  CAPITAL EXPENDITURES ("&amp;Assumptions!C3&amp;")"</f>
        <v/>
      </c>
      <c r="C28" s="84" t="n"/>
      <c r="D28" s="84" t="n"/>
      <c r="E28" s="84" t="n"/>
      <c r="F28" s="84" t="n"/>
      <c r="G28" s="84" t="n"/>
      <c r="H28" s="84" t="n"/>
      <c r="I28" s="84" t="n"/>
      <c r="J28" s="84" t="n"/>
      <c r="K28" s="84" t="n"/>
      <c r="L28" s="84" t="n"/>
      <c r="M28" s="84" t="n"/>
      <c r="N28" s="84" t="n"/>
      <c r="O28" s="84" t="n"/>
      <c r="P28" s="84" t="n"/>
    </row>
    <row r="29" ht="19.5" customHeight="1" s="52">
      <c r="B29" s="71" t="inlineStr">
        <is>
          <t xml:space="preserve">    Capital Expenditures</t>
        </is>
      </c>
      <c r="C29" s="85">
        <f>IF(1=Assumptions!C30,Assumptions!C29,0)</f>
        <v/>
      </c>
      <c r="D29" s="85">
        <f>IF(2=Assumptions!C30,Assumptions!C29,0)</f>
        <v/>
      </c>
      <c r="E29" s="85">
        <f>IF(3=Assumptions!C30,Assumptions!C29,0)</f>
        <v/>
      </c>
      <c r="F29" s="85">
        <f>IF(4=Assumptions!C30,Assumptions!C29,0)</f>
        <v/>
      </c>
      <c r="G29" s="85">
        <f>IF(5=Assumptions!C30,Assumptions!C29,0)</f>
        <v/>
      </c>
      <c r="H29" s="85">
        <f>IF(6=Assumptions!C30,Assumptions!C29,0)</f>
        <v/>
      </c>
      <c r="I29" s="85">
        <f>IF(7=Assumptions!C30,Assumptions!C29,0)</f>
        <v/>
      </c>
      <c r="J29" s="85">
        <f>IF(8=Assumptions!C30,Assumptions!C29,0)</f>
        <v/>
      </c>
      <c r="K29" s="85">
        <f>IF(9=Assumptions!C30,Assumptions!C29,0)</f>
        <v/>
      </c>
      <c r="L29" s="85">
        <f>IF(10=Assumptions!C30,Assumptions!C29,0)</f>
        <v/>
      </c>
      <c r="M29" s="85">
        <f>IF(11=Assumptions!C30,Assumptions!C29,0)</f>
        <v/>
      </c>
      <c r="N29" s="85">
        <f>IF(12=Assumptions!C30,Assumptions!C29,0)</f>
        <v/>
      </c>
      <c r="O29" s="85">
        <f>IF(13=Assumptions!C30,Assumptions!C29,0)</f>
        <v/>
      </c>
      <c r="P29" s="86">
        <f>SUM(C29:O29)</f>
        <v/>
      </c>
    </row>
    <row r="30" ht="21.75" customHeight="1" s="52">
      <c r="B30" s="80">
        <f>"TOTAL CAPEX ("&amp;Assumptions!C3&amp;")"</f>
        <v/>
      </c>
      <c r="C30" s="82">
        <f>C29</f>
        <v/>
      </c>
      <c r="D30" s="82">
        <f>D29</f>
        <v/>
      </c>
      <c r="E30" s="82">
        <f>E29</f>
        <v/>
      </c>
      <c r="F30" s="82">
        <f>F29</f>
        <v/>
      </c>
      <c r="G30" s="82">
        <f>G29</f>
        <v/>
      </c>
      <c r="H30" s="82">
        <f>H29</f>
        <v/>
      </c>
      <c r="I30" s="82">
        <f>I29</f>
        <v/>
      </c>
      <c r="J30" s="82">
        <f>J29</f>
        <v/>
      </c>
      <c r="K30" s="82">
        <f>K29</f>
        <v/>
      </c>
      <c r="L30" s="82">
        <f>L29</f>
        <v/>
      </c>
      <c r="M30" s="82">
        <f>M29</f>
        <v/>
      </c>
      <c r="N30" s="82">
        <f>N29</f>
        <v/>
      </c>
      <c r="O30" s="82">
        <f>O29</f>
        <v/>
      </c>
      <c r="P30" s="82">
        <f>P29</f>
        <v/>
      </c>
    </row>
    <row r="32" ht="24" customHeight="1" s="52">
      <c r="B32" s="83">
        <f>"TOTAL CASH OUTFLOWS ("&amp;Assumptions!C3&amp;")"</f>
        <v/>
      </c>
      <c r="C32" s="87">
        <f>C16+C26+C30</f>
        <v/>
      </c>
      <c r="D32" s="87">
        <f>D16+D26+D30</f>
        <v/>
      </c>
      <c r="E32" s="87">
        <f>E16+E26+E30</f>
        <v/>
      </c>
      <c r="F32" s="87">
        <f>F16+F26+F30</f>
        <v/>
      </c>
      <c r="G32" s="87">
        <f>G16+G26+G30</f>
        <v/>
      </c>
      <c r="H32" s="87">
        <f>H16+H26+H30</f>
        <v/>
      </c>
      <c r="I32" s="87">
        <f>I16+I26+I30</f>
        <v/>
      </c>
      <c r="J32" s="87">
        <f>J16+J26+J30</f>
        <v/>
      </c>
      <c r="K32" s="87">
        <f>K16+K26+K30</f>
        <v/>
      </c>
      <c r="L32" s="87">
        <f>L16+L26+L30</f>
        <v/>
      </c>
      <c r="M32" s="87">
        <f>M16+M26+M30</f>
        <v/>
      </c>
      <c r="N32" s="87">
        <f>N16+N26+N30</f>
        <v/>
      </c>
      <c r="O32" s="87">
        <f>O16+O26+O30</f>
        <v/>
      </c>
      <c r="P32" s="87">
        <f>P16+P26+P30</f>
        <v/>
      </c>
    </row>
    <row r="34" ht="27.75" customHeight="1" s="52">
      <c r="B34" s="62">
        <f>"NET OPERATING CASH FLOW ("&amp;Assumptions!C3&amp;")"</f>
        <v/>
      </c>
      <c r="C34" s="88">
        <f>C12-C32</f>
        <v/>
      </c>
      <c r="D34" s="88">
        <f>D12-D32</f>
        <v/>
      </c>
      <c r="E34" s="88">
        <f>E12-E32</f>
        <v/>
      </c>
      <c r="F34" s="88">
        <f>F12-F32</f>
        <v/>
      </c>
      <c r="G34" s="88">
        <f>G12-G32</f>
        <v/>
      </c>
      <c r="H34" s="88">
        <f>H12-H32</f>
        <v/>
      </c>
      <c r="I34" s="88">
        <f>I12-I32</f>
        <v/>
      </c>
      <c r="J34" s="88">
        <f>J12-J32</f>
        <v/>
      </c>
      <c r="K34" s="88">
        <f>K12-K32</f>
        <v/>
      </c>
      <c r="L34" s="88">
        <f>L12-L32</f>
        <v/>
      </c>
      <c r="M34" s="88">
        <f>M12-M32</f>
        <v/>
      </c>
      <c r="N34" s="88">
        <f>N12-N32</f>
        <v/>
      </c>
      <c r="O34" s="88">
        <f>O12-O32</f>
        <v/>
      </c>
      <c r="P34" s="88">
        <f>P12-P32</f>
        <v/>
      </c>
    </row>
    <row r="36" ht="21.75" customHeight="1" s="52">
      <c r="B36" s="83">
        <f>"▸  FINANCING ACTIVITIES ("&amp;Assumptions!C3&amp;")"</f>
        <v/>
      </c>
      <c r="C36" s="84" t="n"/>
      <c r="D36" s="84" t="n"/>
      <c r="E36" s="84" t="n"/>
      <c r="F36" s="84" t="n"/>
      <c r="G36" s="84" t="n"/>
      <c r="H36" s="84" t="n"/>
      <c r="I36" s="84" t="n"/>
      <c r="J36" s="84" t="n"/>
      <c r="K36" s="84" t="n"/>
      <c r="L36" s="84" t="n"/>
      <c r="M36" s="84" t="n"/>
      <c r="N36" s="84" t="n"/>
      <c r="O36" s="84" t="n"/>
      <c r="P36" s="84" t="n"/>
    </row>
    <row r="37" ht="19.5" customHeight="1" s="52">
      <c r="B37" s="71" t="inlineStr">
        <is>
          <t xml:space="preserve">    Revolver Draws  [input]</t>
        </is>
      </c>
      <c r="C37" s="72" t="n">
        <v>0</v>
      </c>
      <c r="D37" s="72" t="n">
        <v>0</v>
      </c>
      <c r="E37" s="72" t="n">
        <v>0</v>
      </c>
      <c r="F37" s="72" t="n">
        <v>0</v>
      </c>
      <c r="G37" s="72" t="n">
        <v>0</v>
      </c>
      <c r="H37" s="72" t="n">
        <v>0</v>
      </c>
      <c r="I37" s="72" t="n">
        <v>0</v>
      </c>
      <c r="J37" s="72" t="n">
        <v>0</v>
      </c>
      <c r="K37" s="72" t="n">
        <v>0</v>
      </c>
      <c r="L37" s="72" t="n">
        <v>0</v>
      </c>
      <c r="M37" s="72" t="n">
        <v>0</v>
      </c>
      <c r="N37" s="72" t="n">
        <v>0</v>
      </c>
      <c r="O37" s="72" t="n">
        <v>0</v>
      </c>
      <c r="P37" s="86">
        <f>SUM(C37:O37)</f>
        <v/>
      </c>
    </row>
    <row r="38" ht="19.5" customHeight="1" s="52">
      <c r="B38" s="71" t="inlineStr">
        <is>
          <t xml:space="preserve">    Revolver Repayments  [input]</t>
        </is>
      </c>
      <c r="C38" s="72" t="n">
        <v>0</v>
      </c>
      <c r="D38" s="72" t="n">
        <v>0</v>
      </c>
      <c r="E38" s="72" t="n">
        <v>0</v>
      </c>
      <c r="F38" s="72" t="n">
        <v>0</v>
      </c>
      <c r="G38" s="72" t="n">
        <v>0</v>
      </c>
      <c r="H38" s="72" t="n">
        <v>0</v>
      </c>
      <c r="I38" s="72" t="n">
        <v>0</v>
      </c>
      <c r="J38" s="72" t="n">
        <v>0</v>
      </c>
      <c r="K38" s="72" t="n">
        <v>0</v>
      </c>
      <c r="L38" s="72" t="n">
        <v>0</v>
      </c>
      <c r="M38" s="72" t="n">
        <v>0</v>
      </c>
      <c r="N38" s="72" t="n">
        <v>0</v>
      </c>
      <c r="O38" s="72" t="n">
        <v>0</v>
      </c>
      <c r="P38" s="86">
        <f>SUM(C38:O38)</f>
        <v/>
      </c>
    </row>
    <row r="39" ht="19.5" customHeight="1" s="52">
      <c r="B39" s="71" t="inlineStr">
        <is>
          <t xml:space="preserve">    Term Loan Repayment</t>
        </is>
      </c>
      <c r="C39" s="85">
        <f>-Assumptions!C36</f>
        <v/>
      </c>
      <c r="D39" s="85">
        <f>-Assumptions!C36</f>
        <v/>
      </c>
      <c r="E39" s="85">
        <f>-Assumptions!C36</f>
        <v/>
      </c>
      <c r="F39" s="85">
        <f>-Assumptions!C36</f>
        <v/>
      </c>
      <c r="G39" s="85">
        <f>-Assumptions!C36</f>
        <v/>
      </c>
      <c r="H39" s="85">
        <f>-Assumptions!C36</f>
        <v/>
      </c>
      <c r="I39" s="85">
        <f>-Assumptions!C36</f>
        <v/>
      </c>
      <c r="J39" s="85">
        <f>-Assumptions!C36</f>
        <v/>
      </c>
      <c r="K39" s="85">
        <f>-Assumptions!C36</f>
        <v/>
      </c>
      <c r="L39" s="85">
        <f>-Assumptions!C36</f>
        <v/>
      </c>
      <c r="M39" s="85">
        <f>-Assumptions!C36</f>
        <v/>
      </c>
      <c r="N39" s="85">
        <f>-Assumptions!C36</f>
        <v/>
      </c>
      <c r="O39" s="85">
        <f>-Assumptions!C36</f>
        <v/>
      </c>
      <c r="P39" s="86">
        <f>SUM(C39:O39)</f>
        <v/>
      </c>
    </row>
    <row r="40" ht="19.5" customHeight="1" s="52">
      <c r="B40" s="71" t="inlineStr">
        <is>
          <t xml:space="preserve">    Interest Expense on Revolver</t>
        </is>
      </c>
      <c r="C40" s="85">
        <f>-Assumptions!C34*Assumptions!C35/52</f>
        <v/>
      </c>
      <c r="D40" s="85">
        <f>-(Assumptions!C34+SUM(C37:C37)-SUM(C38:C38))*Assumptions!C35/52</f>
        <v/>
      </c>
      <c r="E40" s="85">
        <f>-(Assumptions!C34+SUM(C37:D37)-SUM(C38:D38))*Assumptions!C35/52</f>
        <v/>
      </c>
      <c r="F40" s="85">
        <f>-(Assumptions!C34+SUM(C37:E37)-SUM(C38:E38))*Assumptions!C35/52</f>
        <v/>
      </c>
      <c r="G40" s="85">
        <f>-(Assumptions!C34+SUM(C37:F37)-SUM(C38:F38))*Assumptions!C35/52</f>
        <v/>
      </c>
      <c r="H40" s="85">
        <f>-(Assumptions!C34+SUM(C37:G37)-SUM(C38:G38))*Assumptions!C35/52</f>
        <v/>
      </c>
      <c r="I40" s="85">
        <f>-(Assumptions!C34+SUM(C37:H37)-SUM(C38:H38))*Assumptions!C35/52</f>
        <v/>
      </c>
      <c r="J40" s="85">
        <f>-(Assumptions!C34+SUM(C37:I37)-SUM(C38:I38))*Assumptions!C35/52</f>
        <v/>
      </c>
      <c r="K40" s="85">
        <f>-(Assumptions!C34+SUM(C37:J37)-SUM(C38:J38))*Assumptions!C35/52</f>
        <v/>
      </c>
      <c r="L40" s="85">
        <f>-(Assumptions!C34+SUM(C37:K37)-SUM(C38:K38))*Assumptions!C35/52</f>
        <v/>
      </c>
      <c r="M40" s="85">
        <f>-(Assumptions!C34+SUM(C37:L37)-SUM(C38:L38))*Assumptions!C35/52</f>
        <v/>
      </c>
      <c r="N40" s="85">
        <f>-(Assumptions!C34+SUM(C37:M37)-SUM(C38:M38))*Assumptions!C35/52</f>
        <v/>
      </c>
      <c r="O40" s="85">
        <f>-(Assumptions!C34+SUM(C37:N37)-SUM(C38:N38))*Assumptions!C35/52</f>
        <v/>
      </c>
      <c r="P40" s="86">
        <f>SUM(C40:O40)</f>
        <v/>
      </c>
    </row>
    <row r="41" ht="19.5" customHeight="1" s="52">
      <c r="B41" s="71" t="inlineStr">
        <is>
          <t xml:space="preserve">    Dividends / Owner Distributions</t>
        </is>
      </c>
      <c r="C41" s="85">
        <f>-Assumptions!C37</f>
        <v/>
      </c>
      <c r="D41" s="85">
        <f>-Assumptions!C37</f>
        <v/>
      </c>
      <c r="E41" s="85">
        <f>-Assumptions!C37</f>
        <v/>
      </c>
      <c r="F41" s="85">
        <f>-Assumptions!C37</f>
        <v/>
      </c>
      <c r="G41" s="85">
        <f>-Assumptions!C37</f>
        <v/>
      </c>
      <c r="H41" s="85">
        <f>-Assumptions!C37</f>
        <v/>
      </c>
      <c r="I41" s="85">
        <f>-Assumptions!C37</f>
        <v/>
      </c>
      <c r="J41" s="85">
        <f>-Assumptions!C37</f>
        <v/>
      </c>
      <c r="K41" s="85">
        <f>-Assumptions!C37</f>
        <v/>
      </c>
      <c r="L41" s="85">
        <f>-Assumptions!C37</f>
        <v/>
      </c>
      <c r="M41" s="85">
        <f>-Assumptions!C37</f>
        <v/>
      </c>
      <c r="N41" s="85">
        <f>-Assumptions!C37</f>
        <v/>
      </c>
      <c r="O41" s="85">
        <f>-Assumptions!C37</f>
        <v/>
      </c>
      <c r="P41" s="86">
        <f>SUM(C41:O41)</f>
        <v/>
      </c>
    </row>
    <row r="42" ht="21.75" customHeight="1" s="52">
      <c r="B42" s="80">
        <f>"TOTAL FINANCING ("&amp;Assumptions!C3&amp;")"</f>
        <v/>
      </c>
      <c r="C42" s="82">
        <f>C37+C38+C39+C40+C41</f>
        <v/>
      </c>
      <c r="D42" s="82">
        <f>D37+D38+D39+D40+D41</f>
        <v/>
      </c>
      <c r="E42" s="82">
        <f>E37+E38+E39+E40+E41</f>
        <v/>
      </c>
      <c r="F42" s="82">
        <f>F37+F38+F39+F40+F41</f>
        <v/>
      </c>
      <c r="G42" s="82">
        <f>G37+G38+G39+G40+G41</f>
        <v/>
      </c>
      <c r="H42" s="82">
        <f>H37+H38+H39+H40+H41</f>
        <v/>
      </c>
      <c r="I42" s="82">
        <f>I37+I38+I39+I40+I41</f>
        <v/>
      </c>
      <c r="J42" s="82">
        <f>J37+J38+J39+J40+J41</f>
        <v/>
      </c>
      <c r="K42" s="82">
        <f>K37+K38+K39+K40+K41</f>
        <v/>
      </c>
      <c r="L42" s="82">
        <f>L37+L38+L39+L40+L41</f>
        <v/>
      </c>
      <c r="M42" s="82">
        <f>M37+M38+M39+M40+M41</f>
        <v/>
      </c>
      <c r="N42" s="82">
        <f>N37+N38+N39+N40+N41</f>
        <v/>
      </c>
      <c r="O42" s="82">
        <f>O37+O38+O39+O40+O41</f>
        <v/>
      </c>
      <c r="P42" s="82">
        <f>P37+P38+P39+P40+P41</f>
        <v/>
      </c>
    </row>
    <row r="44" ht="21.75" customHeight="1" s="52">
      <c r="B44" s="83">
        <f>"▸  TAXES ("&amp;Assumptions!C3&amp;")"</f>
        <v/>
      </c>
      <c r="C44" s="84" t="n"/>
      <c r="D44" s="84" t="n"/>
      <c r="E44" s="84" t="n"/>
      <c r="F44" s="84" t="n"/>
      <c r="G44" s="84" t="n"/>
      <c r="H44" s="84" t="n"/>
      <c r="I44" s="84" t="n"/>
      <c r="J44" s="84" t="n"/>
      <c r="K44" s="84" t="n"/>
      <c r="L44" s="84" t="n"/>
      <c r="M44" s="84" t="n"/>
      <c r="N44" s="84" t="n"/>
      <c r="O44" s="84" t="n"/>
      <c r="P44" s="84" t="n"/>
    </row>
    <row r="45" ht="19.5" customHeight="1" s="52">
      <c r="B45" s="71" t="inlineStr">
        <is>
          <t xml:space="preserve">    Estimated Tax Payment</t>
        </is>
      </c>
      <c r="C45" s="85">
        <f>IF(1=Assumptions!C41,-Assumptions!C40,0)</f>
        <v/>
      </c>
      <c r="D45" s="85">
        <f>IF(2=Assumptions!C41,-Assumptions!C40,0)</f>
        <v/>
      </c>
      <c r="E45" s="85">
        <f>IF(3=Assumptions!C41,-Assumptions!C40,0)</f>
        <v/>
      </c>
      <c r="F45" s="85">
        <f>IF(4=Assumptions!C41,-Assumptions!C40,0)</f>
        <v/>
      </c>
      <c r="G45" s="85">
        <f>IF(5=Assumptions!C41,-Assumptions!C40,0)</f>
        <v/>
      </c>
      <c r="H45" s="85">
        <f>IF(6=Assumptions!C41,-Assumptions!C40,0)</f>
        <v/>
      </c>
      <c r="I45" s="85">
        <f>IF(7=Assumptions!C41,-Assumptions!C40,0)</f>
        <v/>
      </c>
      <c r="J45" s="85">
        <f>IF(8=Assumptions!C41,-Assumptions!C40,0)</f>
        <v/>
      </c>
      <c r="K45" s="85">
        <f>IF(9=Assumptions!C41,-Assumptions!C40,0)</f>
        <v/>
      </c>
      <c r="L45" s="85">
        <f>IF(10=Assumptions!C41,-Assumptions!C40,0)</f>
        <v/>
      </c>
      <c r="M45" s="85">
        <f>IF(11=Assumptions!C41,-Assumptions!C40,0)</f>
        <v/>
      </c>
      <c r="N45" s="85">
        <f>IF(12=Assumptions!C41,-Assumptions!C40,0)</f>
        <v/>
      </c>
      <c r="O45" s="85">
        <f>IF(13=Assumptions!C41,-Assumptions!C40,0)</f>
        <v/>
      </c>
      <c r="P45" s="86">
        <f>SUM(C45:O45)</f>
        <v/>
      </c>
    </row>
    <row r="47" ht="21.75" customHeight="1" s="52">
      <c r="B47" s="89">
        <f>"NET CHANGE IN CASH ("&amp;Assumptions!C3&amp;")"</f>
        <v/>
      </c>
      <c r="C47" s="86">
        <f>C34+C42+C45</f>
        <v/>
      </c>
      <c r="D47" s="86">
        <f>D34+D42+D45</f>
        <v/>
      </c>
      <c r="E47" s="86">
        <f>E34+E42+E45</f>
        <v/>
      </c>
      <c r="F47" s="86">
        <f>F34+F42+F45</f>
        <v/>
      </c>
      <c r="G47" s="86">
        <f>G34+G42+G45</f>
        <v/>
      </c>
      <c r="H47" s="86">
        <f>H34+H42+H45</f>
        <v/>
      </c>
      <c r="I47" s="86">
        <f>I34+I42+I45</f>
        <v/>
      </c>
      <c r="J47" s="86">
        <f>J34+J42+J45</f>
        <v/>
      </c>
      <c r="K47" s="86">
        <f>K34+K42+K45</f>
        <v/>
      </c>
      <c r="L47" s="86">
        <f>L34+L42+L45</f>
        <v/>
      </c>
      <c r="M47" s="86">
        <f>M34+M42+M45</f>
        <v/>
      </c>
      <c r="N47" s="86">
        <f>N34+N42+N45</f>
        <v/>
      </c>
      <c r="O47" s="86">
        <f>O34+O42+O45</f>
        <v/>
      </c>
      <c r="P47" s="86">
        <f>P34+P42+P45</f>
        <v/>
      </c>
    </row>
    <row r="48" ht="30" customHeight="1" s="52">
      <c r="B48" s="90">
        <f>"CLOSING CASH BALANCE ("&amp;Assumptions!C3&amp;")"</f>
        <v/>
      </c>
      <c r="C48" s="91">
        <f>C6+C47</f>
        <v/>
      </c>
      <c r="D48" s="91">
        <f>D6+D47</f>
        <v/>
      </c>
      <c r="E48" s="91">
        <f>E6+E47</f>
        <v/>
      </c>
      <c r="F48" s="91">
        <f>F6+F47</f>
        <v/>
      </c>
      <c r="G48" s="91">
        <f>G6+G47</f>
        <v/>
      </c>
      <c r="H48" s="91">
        <f>H6+H47</f>
        <v/>
      </c>
      <c r="I48" s="91">
        <f>I6+I47</f>
        <v/>
      </c>
      <c r="J48" s="91">
        <f>J6+J47</f>
        <v/>
      </c>
      <c r="K48" s="91">
        <f>K6+K47</f>
        <v/>
      </c>
      <c r="L48" s="91">
        <f>L6+L47</f>
        <v/>
      </c>
      <c r="M48" s="91">
        <f>M6+M47</f>
        <v/>
      </c>
      <c r="N48" s="91">
        <f>N6+N47</f>
        <v/>
      </c>
      <c r="O48" s="91">
        <f>O6+O47</f>
        <v/>
      </c>
      <c r="P48" s="91">
        <f>O48</f>
        <v/>
      </c>
    </row>
    <row r="49" ht="19.5" customHeight="1" s="52">
      <c r="B49" s="92">
        <f>"    Minimum Cash Target ("&amp;Assumptions!C3&amp;") (from Assumptions)"</f>
        <v/>
      </c>
      <c r="C49" s="93">
        <f>Assumptions!C44</f>
        <v/>
      </c>
      <c r="D49" s="93">
        <f>Assumptions!C44</f>
        <v/>
      </c>
      <c r="E49" s="93">
        <f>Assumptions!C44</f>
        <v/>
      </c>
      <c r="F49" s="93">
        <f>Assumptions!C44</f>
        <v/>
      </c>
      <c r="G49" s="93">
        <f>Assumptions!C44</f>
        <v/>
      </c>
      <c r="H49" s="93">
        <f>Assumptions!C44</f>
        <v/>
      </c>
      <c r="I49" s="93">
        <f>Assumptions!C44</f>
        <v/>
      </c>
      <c r="J49" s="93">
        <f>Assumptions!C44</f>
        <v/>
      </c>
      <c r="K49" s="93">
        <f>Assumptions!C44</f>
        <v/>
      </c>
      <c r="L49" s="93">
        <f>Assumptions!C44</f>
        <v/>
      </c>
      <c r="M49" s="93">
        <f>Assumptions!C44</f>
        <v/>
      </c>
      <c r="N49" s="93">
        <f>Assumptions!C44</f>
        <v/>
      </c>
      <c r="O49" s="93">
        <f>Assumptions!C44</f>
        <v/>
      </c>
      <c r="P49" s="93">
        <f>Assumptions!C44</f>
        <v/>
      </c>
    </row>
    <row r="50" ht="21.75" customHeight="1" s="52">
      <c r="B50" s="89">
        <f>"Cash Surplus / (Deficit) vs. Minimum ("&amp;Assumptions!C3&amp;")"</f>
        <v/>
      </c>
      <c r="C50" s="86">
        <f>C48-C49</f>
        <v/>
      </c>
      <c r="D50" s="86">
        <f>D48-D49</f>
        <v/>
      </c>
      <c r="E50" s="86">
        <f>E48-E49</f>
        <v/>
      </c>
      <c r="F50" s="86">
        <f>F48-F49</f>
        <v/>
      </c>
      <c r="G50" s="86">
        <f>G48-G49</f>
        <v/>
      </c>
      <c r="H50" s="86">
        <f>H48-H49</f>
        <v/>
      </c>
      <c r="I50" s="86">
        <f>I48-I49</f>
        <v/>
      </c>
      <c r="J50" s="86">
        <f>J48-J49</f>
        <v/>
      </c>
      <c r="K50" s="86">
        <f>K48-K49</f>
        <v/>
      </c>
      <c r="L50" s="86">
        <f>L48-L49</f>
        <v/>
      </c>
      <c r="M50" s="86">
        <f>M48-M49</f>
        <v/>
      </c>
      <c r="N50" s="86">
        <f>N48-N49</f>
        <v/>
      </c>
      <c r="O50" s="86">
        <f>O48-O49</f>
        <v/>
      </c>
      <c r="P50" s="86">
        <f>O50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2">
    <mergeCell ref="B1:P1"/>
    <mergeCell ref="B2:P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B1:P12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baseColWidth="8" defaultColWidth="8.6796875" defaultRowHeight="15" zeroHeight="0" outlineLevelRow="0"/>
  <cols>
    <col width="2" customWidth="1" style="51" min="1" max="1"/>
    <col width="40" customWidth="1" style="51" min="2" max="2"/>
    <col width="13" customWidth="1" style="51" min="3" max="16"/>
  </cols>
  <sheetData>
    <row r="1" ht="33.75" customHeight="1" s="52">
      <c r="B1" s="61">
        <f>"13-Week Cash Bridge ("&amp;Assumptions!C2&amp;")"</f>
        <v/>
      </c>
    </row>
    <row r="2" ht="15" customHeight="1" s="52">
      <c r="B2" s="54" t="inlineStr">
        <is>
          <t>Pulls from Forecast tab. Shows sources &amp; uses of cash each week.</t>
        </is>
      </c>
    </row>
    <row r="3" ht="18" customHeight="1" s="52">
      <c r="B3" s="77" t="inlineStr">
        <is>
          <t>Week Ending →</t>
        </is>
      </c>
      <c r="C3" s="78">
        <f>Forecast!C5</f>
        <v/>
      </c>
      <c r="D3" s="78">
        <f>Forecast!D5</f>
        <v/>
      </c>
      <c r="E3" s="78">
        <f>Forecast!E5</f>
        <v/>
      </c>
      <c r="F3" s="78">
        <f>Forecast!F5</f>
        <v/>
      </c>
      <c r="G3" s="78">
        <f>Forecast!G5</f>
        <v/>
      </c>
      <c r="H3" s="78">
        <f>Forecast!H5</f>
        <v/>
      </c>
      <c r="I3" s="78">
        <f>Forecast!I5</f>
        <v/>
      </c>
      <c r="J3" s="78">
        <f>Forecast!J5</f>
        <v/>
      </c>
      <c r="K3" s="78">
        <f>Forecast!K5</f>
        <v/>
      </c>
      <c r="L3" s="78">
        <f>Forecast!L5</f>
        <v/>
      </c>
      <c r="M3" s="78">
        <f>Forecast!M5</f>
        <v/>
      </c>
      <c r="N3" s="78">
        <f>Forecast!N5</f>
        <v/>
      </c>
      <c r="O3" s="78">
        <f>Forecast!O5</f>
        <v/>
      </c>
      <c r="P3" s="79" t="inlineStr">
        <is>
          <t>—</t>
        </is>
      </c>
    </row>
    <row r="4" ht="21.75" customHeight="1" s="52">
      <c r="B4" s="75" t="inlineStr">
        <is>
          <t>ITEM</t>
        </is>
      </c>
      <c r="C4" s="76" t="inlineStr">
        <is>
          <t>Wk 1</t>
        </is>
      </c>
      <c r="D4" s="76" t="inlineStr">
        <is>
          <t>Wk 2</t>
        </is>
      </c>
      <c r="E4" s="76" t="inlineStr">
        <is>
          <t>Wk 3</t>
        </is>
      </c>
      <c r="F4" s="76" t="inlineStr">
        <is>
          <t>Wk 4</t>
        </is>
      </c>
      <c r="G4" s="76" t="inlineStr">
        <is>
          <t>Wk 5</t>
        </is>
      </c>
      <c r="H4" s="76" t="inlineStr">
        <is>
          <t>Wk 6</t>
        </is>
      </c>
      <c r="I4" s="76" t="inlineStr">
        <is>
          <t>Wk 7</t>
        </is>
      </c>
      <c r="J4" s="76" t="inlineStr">
        <is>
          <t>Wk 8</t>
        </is>
      </c>
      <c r="K4" s="76" t="inlineStr">
        <is>
          <t>Wk 9</t>
        </is>
      </c>
      <c r="L4" s="76" t="inlineStr">
        <is>
          <t>Wk 10</t>
        </is>
      </c>
      <c r="M4" s="76" t="inlineStr">
        <is>
          <t>Wk 11</t>
        </is>
      </c>
      <c r="N4" s="76" t="inlineStr">
        <is>
          <t>Wk 12</t>
        </is>
      </c>
      <c r="O4" s="76" t="inlineStr">
        <is>
          <t>Wk 13</t>
        </is>
      </c>
      <c r="P4" s="76" t="inlineStr">
        <is>
          <t>13-Wk Total</t>
        </is>
      </c>
    </row>
    <row r="5" ht="21.75" customHeight="1" s="52">
      <c r="B5" s="94">
        <f>"Opening Cash ("&amp;Assumptions!C3&amp;")"</f>
        <v/>
      </c>
      <c r="C5" s="95">
        <f>Forecast!C6</f>
        <v/>
      </c>
      <c r="D5" s="95">
        <f>Forecast!D6</f>
        <v/>
      </c>
      <c r="E5" s="95">
        <f>Forecast!E6</f>
        <v/>
      </c>
      <c r="F5" s="95">
        <f>Forecast!F6</f>
        <v/>
      </c>
      <c r="G5" s="95">
        <f>Forecast!G6</f>
        <v/>
      </c>
      <c r="H5" s="95">
        <f>Forecast!H6</f>
        <v/>
      </c>
      <c r="I5" s="95">
        <f>Forecast!I6</f>
        <v/>
      </c>
      <c r="J5" s="95">
        <f>Forecast!J6</f>
        <v/>
      </c>
      <c r="K5" s="95">
        <f>Forecast!K6</f>
        <v/>
      </c>
      <c r="L5" s="95">
        <f>Forecast!L6</f>
        <v/>
      </c>
      <c r="M5" s="95">
        <f>Forecast!M6</f>
        <v/>
      </c>
      <c r="N5" s="95">
        <f>Forecast!N6</f>
        <v/>
      </c>
      <c r="O5" s="95">
        <f>Forecast!O6</f>
        <v/>
      </c>
      <c r="P5" s="95">
        <f>Forecast!P6</f>
        <v/>
      </c>
    </row>
    <row r="6" ht="21.75" customHeight="1" s="52">
      <c r="B6" s="96">
        <f>"(+) Total Inflows ("&amp;Assumptions!C3&amp;")"</f>
        <v/>
      </c>
      <c r="C6" s="97">
        <f>Forecast!C12</f>
        <v/>
      </c>
      <c r="D6" s="97">
        <f>Forecast!D12</f>
        <v/>
      </c>
      <c r="E6" s="97">
        <f>Forecast!E12</f>
        <v/>
      </c>
      <c r="F6" s="97">
        <f>Forecast!F12</f>
        <v/>
      </c>
      <c r="G6" s="97">
        <f>Forecast!G12</f>
        <v/>
      </c>
      <c r="H6" s="97">
        <f>Forecast!H12</f>
        <v/>
      </c>
      <c r="I6" s="97">
        <f>Forecast!I12</f>
        <v/>
      </c>
      <c r="J6" s="97">
        <f>Forecast!J12</f>
        <v/>
      </c>
      <c r="K6" s="97">
        <f>Forecast!K12</f>
        <v/>
      </c>
      <c r="L6" s="97">
        <f>Forecast!L12</f>
        <v/>
      </c>
      <c r="M6" s="97">
        <f>Forecast!M12</f>
        <v/>
      </c>
      <c r="N6" s="97">
        <f>Forecast!N12</f>
        <v/>
      </c>
      <c r="O6" s="97">
        <f>Forecast!O12</f>
        <v/>
      </c>
      <c r="P6" s="97">
        <f>SUM(C6:O6)</f>
        <v/>
      </c>
    </row>
    <row r="7" ht="21.75" customHeight="1" s="52">
      <c r="B7" s="98">
        <f>"(-) Total Outflows ("&amp;Assumptions!C3&amp;")"</f>
        <v/>
      </c>
      <c r="C7" s="99">
        <f>Forecast!C32</f>
        <v/>
      </c>
      <c r="D7" s="99">
        <f>Forecast!D32</f>
        <v/>
      </c>
      <c r="E7" s="99">
        <f>Forecast!E32</f>
        <v/>
      </c>
      <c r="F7" s="99">
        <f>Forecast!F32</f>
        <v/>
      </c>
      <c r="G7" s="99">
        <f>Forecast!G32</f>
        <v/>
      </c>
      <c r="H7" s="99">
        <f>Forecast!H32</f>
        <v/>
      </c>
      <c r="I7" s="99">
        <f>Forecast!I32</f>
        <v/>
      </c>
      <c r="J7" s="99">
        <f>Forecast!J32</f>
        <v/>
      </c>
      <c r="K7" s="99">
        <f>Forecast!K32</f>
        <v/>
      </c>
      <c r="L7" s="99">
        <f>Forecast!L32</f>
        <v/>
      </c>
      <c r="M7" s="99">
        <f>Forecast!M32</f>
        <v/>
      </c>
      <c r="N7" s="99">
        <f>Forecast!N32</f>
        <v/>
      </c>
      <c r="O7" s="99">
        <f>Forecast!O32</f>
        <v/>
      </c>
      <c r="P7" s="99">
        <f>SUM(C7:O7)</f>
        <v/>
      </c>
    </row>
    <row r="8" ht="21.75" customHeight="1" s="52">
      <c r="B8" s="100">
        <f>"(+/-) Net Financing ("&amp;Assumptions!C3&amp;")"</f>
        <v/>
      </c>
      <c r="C8" s="101">
        <f>Forecast!C42</f>
        <v/>
      </c>
      <c r="D8" s="101">
        <f>Forecast!D42</f>
        <v/>
      </c>
      <c r="E8" s="101">
        <f>Forecast!E42</f>
        <v/>
      </c>
      <c r="F8" s="101">
        <f>Forecast!F42</f>
        <v/>
      </c>
      <c r="G8" s="101">
        <f>Forecast!G42</f>
        <v/>
      </c>
      <c r="H8" s="101">
        <f>Forecast!H42</f>
        <v/>
      </c>
      <c r="I8" s="101">
        <f>Forecast!I42</f>
        <v/>
      </c>
      <c r="J8" s="101">
        <f>Forecast!J42</f>
        <v/>
      </c>
      <c r="K8" s="101">
        <f>Forecast!K42</f>
        <v/>
      </c>
      <c r="L8" s="101">
        <f>Forecast!L42</f>
        <v/>
      </c>
      <c r="M8" s="101">
        <f>Forecast!M42</f>
        <v/>
      </c>
      <c r="N8" s="101">
        <f>Forecast!N42</f>
        <v/>
      </c>
      <c r="O8" s="101">
        <f>Forecast!O42</f>
        <v/>
      </c>
      <c r="P8" s="101">
        <f>SUM(C8:O8)</f>
        <v/>
      </c>
    </row>
    <row r="9" ht="21.75" customHeight="1" s="52">
      <c r="B9" s="100">
        <f>"(+/-) Taxes ("&amp;Assumptions!C3&amp;")"</f>
        <v/>
      </c>
      <c r="C9" s="101">
        <f>Forecast!C45</f>
        <v/>
      </c>
      <c r="D9" s="101">
        <f>Forecast!D45</f>
        <v/>
      </c>
      <c r="E9" s="101">
        <f>Forecast!E45</f>
        <v/>
      </c>
      <c r="F9" s="101">
        <f>Forecast!F45</f>
        <v/>
      </c>
      <c r="G9" s="101">
        <f>Forecast!G45</f>
        <v/>
      </c>
      <c r="H9" s="101">
        <f>Forecast!H45</f>
        <v/>
      </c>
      <c r="I9" s="101">
        <f>Forecast!I45</f>
        <v/>
      </c>
      <c r="J9" s="101">
        <f>Forecast!J45</f>
        <v/>
      </c>
      <c r="K9" s="101">
        <f>Forecast!K45</f>
        <v/>
      </c>
      <c r="L9" s="101">
        <f>Forecast!L45</f>
        <v/>
      </c>
      <c r="M9" s="101">
        <f>Forecast!M45</f>
        <v/>
      </c>
      <c r="N9" s="101">
        <f>Forecast!N45</f>
        <v/>
      </c>
      <c r="O9" s="101">
        <f>Forecast!O45</f>
        <v/>
      </c>
      <c r="P9" s="101">
        <f>SUM(C9:O9)</f>
        <v/>
      </c>
    </row>
    <row r="10" ht="21.75" customHeight="1" s="52">
      <c r="B10" s="102">
        <f>"Closing Cash ("&amp;Assumptions!C3&amp;")"</f>
        <v/>
      </c>
      <c r="C10" s="103">
        <f>Forecast!C48</f>
        <v/>
      </c>
      <c r="D10" s="103">
        <f>Forecast!D48</f>
        <v/>
      </c>
      <c r="E10" s="103">
        <f>Forecast!E48</f>
        <v/>
      </c>
      <c r="F10" s="103">
        <f>Forecast!F48</f>
        <v/>
      </c>
      <c r="G10" s="103">
        <f>Forecast!G48</f>
        <v/>
      </c>
      <c r="H10" s="103">
        <f>Forecast!H48</f>
        <v/>
      </c>
      <c r="I10" s="103">
        <f>Forecast!I48</f>
        <v/>
      </c>
      <c r="J10" s="103">
        <f>Forecast!J48</f>
        <v/>
      </c>
      <c r="K10" s="103">
        <f>Forecast!K48</f>
        <v/>
      </c>
      <c r="L10" s="103">
        <f>Forecast!L48</f>
        <v/>
      </c>
      <c r="M10" s="103">
        <f>Forecast!M48</f>
        <v/>
      </c>
      <c r="N10" s="103">
        <f>Forecast!N48</f>
        <v/>
      </c>
      <c r="O10" s="103">
        <f>Forecast!O48</f>
        <v/>
      </c>
      <c r="P10" s="103">
        <f>Forecast!P48</f>
        <v/>
      </c>
    </row>
    <row r="11" ht="21.75" customHeight="1" s="52">
      <c r="B11" s="92">
        <f>"  Min Cash Target ("&amp;Assumptions!C3&amp;")"</f>
        <v/>
      </c>
      <c r="C11" s="93">
        <f>Forecast!C49</f>
        <v/>
      </c>
      <c r="D11" s="93">
        <f>Forecast!D49</f>
        <v/>
      </c>
      <c r="E11" s="93">
        <f>Forecast!E49</f>
        <v/>
      </c>
      <c r="F11" s="93">
        <f>Forecast!F49</f>
        <v/>
      </c>
      <c r="G11" s="93">
        <f>Forecast!G49</f>
        <v/>
      </c>
      <c r="H11" s="93">
        <f>Forecast!H49</f>
        <v/>
      </c>
      <c r="I11" s="93">
        <f>Forecast!I49</f>
        <v/>
      </c>
      <c r="J11" s="93">
        <f>Forecast!J49</f>
        <v/>
      </c>
      <c r="K11" s="93">
        <f>Forecast!K49</f>
        <v/>
      </c>
      <c r="L11" s="93">
        <f>Forecast!L49</f>
        <v/>
      </c>
      <c r="M11" s="93">
        <f>Forecast!M49</f>
        <v/>
      </c>
      <c r="N11" s="93">
        <f>Forecast!N49</f>
        <v/>
      </c>
      <c r="O11" s="93">
        <f>Forecast!O49</f>
        <v/>
      </c>
      <c r="P11" s="93">
        <f>Forecast!P49</f>
        <v/>
      </c>
    </row>
    <row r="12" ht="21.75" customHeight="1" s="52">
      <c r="B12" s="100">
        <f>"  Surplus / (Deficit) ("&amp;Assumptions!C3&amp;")"</f>
        <v/>
      </c>
      <c r="C12" s="101">
        <f>Forecast!C50</f>
        <v/>
      </c>
      <c r="D12" s="101">
        <f>Forecast!D50</f>
        <v/>
      </c>
      <c r="E12" s="101">
        <f>Forecast!E50</f>
        <v/>
      </c>
      <c r="F12" s="101">
        <f>Forecast!F50</f>
        <v/>
      </c>
      <c r="G12" s="101">
        <f>Forecast!G50</f>
        <v/>
      </c>
      <c r="H12" s="101">
        <f>Forecast!H50</f>
        <v/>
      </c>
      <c r="I12" s="101">
        <f>Forecast!I50</f>
        <v/>
      </c>
      <c r="J12" s="101">
        <f>Forecast!J50</f>
        <v/>
      </c>
      <c r="K12" s="101">
        <f>Forecast!K50</f>
        <v/>
      </c>
      <c r="L12" s="101">
        <f>Forecast!L50</f>
        <v/>
      </c>
      <c r="M12" s="101">
        <f>Forecast!M50</f>
        <v/>
      </c>
      <c r="N12" s="101">
        <f>Forecast!N50</f>
        <v/>
      </c>
      <c r="O12" s="101">
        <f>Forecast!O50</f>
        <v/>
      </c>
      <c r="P12" s="101">
        <f>Forecast!P50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2">
    <mergeCell ref="B1:P1"/>
    <mergeCell ref="B2:P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2026-03-09T20:26:37Z</dcterms:created>
  <dcterms:modified xmlns:dcterms="http://purl.org/dc/terms/" xmlns:xsi="http://www.w3.org/2001/XMLSchema-instance" xsi:type="dcterms:W3CDTF">2026-03-09T20:58:21Z</dcterms:modified>
  <cp:revision>0</cp:revision>
</cp:coreProperties>
</file>