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Instructions" sheetId="1" state="visible" r:id="rId3"/>
    <sheet name="Assumptions" sheetId="2" state="visible" r:id="rId4"/>
    <sheet name="Forecast" sheetId="3" state="visible" r:id="rId5"/>
    <sheet name="Bridge" sheetId="4" state="visible" r:id="rId6"/>
    <sheet name="Stress Test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<sst xmlns="http://schemas.openxmlformats.org/spreadsheetml/2006/main" count="255" uniqueCount="234">
  <si>
    <t xml:space="preserve">13-Week Cash Flow Forecast (User Guide)</t>
  </si>
  <si>
    <t xml:space="preserve">Select your currency in Assumptions cell C2. All labels update automatically.</t>
  </si>
  <si>
    <t xml:space="preserve">How Currency Selection Works</t>
  </si>
  <si>
    <t xml:space="preserve">1.  Go to the Assumptions tab.</t>
  </si>
  <si>
    <t xml:space="preserve">2.  In cell C2, use the dropdown to select: USD ($), GBP (£), or EUR (€).</t>
  </si>
  <si>
    <t xml:space="preserve">3.  The currency symbol displayed in all column headers across the Forecast and Bridge tabs will update instantly.</t>
  </si>
  <si>
    <t xml:space="preserve">4.  All numbers are formatted as plain thousands (the symbol appears in the header row of each section).</t>
  </si>
  <si>
    <t xml:space="preserve">5.  Colour coding: Blue = your inputs. Black = formulas. Yellow = key assumptions requiring attention.</t>
  </si>
  <si>
    <t xml:space="preserve">6.  Set your forecast start date in C5, fill in all other blue Assumptions cells, then enter your Week 1 opening cash in Forecast column C.</t>
  </si>
  <si>
    <t xml:space="preserve">Colour Legend</t>
  </si>
  <si>
    <t xml:space="preserve">Blue text / light-blue background</t>
  </si>
  <si>
    <t xml:space="preserve">Input cell (enter your data here)</t>
  </si>
  <si>
    <t xml:space="preserve">Black text / white background</t>
  </si>
  <si>
    <t xml:space="preserve">Formula (do not overwrite)</t>
  </si>
  <si>
    <t xml:space="preserve">Black text / grey background</t>
  </si>
  <si>
    <t xml:space="preserve">Subtotal or total row (formula)</t>
  </si>
  <si>
    <t xml:space="preserve">Yellow background</t>
  </si>
  <si>
    <t xml:space="preserve">Key assumption needing your attention</t>
  </si>
  <si>
    <t xml:space="preserve">Dark navy row</t>
  </si>
  <si>
    <t xml:space="preserve">Major section heading</t>
  </si>
  <si>
    <t xml:space="preserve">Medium navy row</t>
  </si>
  <si>
    <t xml:space="preserve">Sub-section heading</t>
  </si>
  <si>
    <t xml:space="preserve">Operating Assumptions</t>
  </si>
  <si>
    <t xml:space="preserve">▶  CURRENCY SELECTION  ◀</t>
  </si>
  <si>
    <t xml:space="preserve">USD ($)</t>
  </si>
  <si>
    <t xml:space="preserve">← Select from dropdown: USD ($), GBP (£), EUR (€)</t>
  </si>
  <si>
    <t xml:space="preserve">Assumption</t>
  </si>
  <si>
    <t xml:space="preserve">Notes / Source</t>
  </si>
  <si>
    <t xml:space="preserve">CALENDAR</t>
  </si>
  <si>
    <t xml:space="preserve">Forecast Start Date (Monday of Week 1)</t>
  </si>
  <si>
    <t xml:space="preserve">2025-01-06</t>
  </si>
  <si>
    <t xml:space="preserve">Enter as YYYY-MM-DD or Excel date</t>
  </si>
  <si>
    <t xml:space="preserve">REVENUE &amp; COLLECTIONS</t>
  </si>
  <si>
    <t xml:space="preserve">Weekly Revenue (Base, Week 1)</t>
  </si>
  <si>
    <t xml:space="preserve">Enter actual or forecast revenue for Week 1</t>
  </si>
  <si>
    <t xml:space="preserve">Weekly Revenue Growth Rate (WoW)</t>
  </si>
  <si>
    <t xml:space="preserve">Week-over-week growth</t>
  </si>
  <si>
    <t xml:space="preserve">Days Sales Outstanding (DSO)</t>
  </si>
  <si>
    <t xml:space="preserve">Average days to collect receivables</t>
  </si>
  <si>
    <t xml:space="preserve">Cash Sales % of Revenue</t>
  </si>
  <si>
    <t xml:space="preserve">Collected same week</t>
  </si>
  <si>
    <t xml:space="preserve">Collections Lag (weeks)</t>
  </si>
  <si>
    <t xml:space="preserve">Weeks until credit sales collected</t>
  </si>
  <si>
    <t xml:space="preserve">COST OF GOODS SOLD</t>
  </si>
  <si>
    <t xml:space="preserve">COGS as % of Revenue</t>
  </si>
  <si>
    <t xml:space="preserve">Direct material + labour + overhead</t>
  </si>
  <si>
    <t xml:space="preserve">COGS Cash Payment Lag (weeks)</t>
  </si>
  <si>
    <t xml:space="preserve">DPO proxy</t>
  </si>
  <si>
    <t xml:space="preserve">OPERATING EXPENSES</t>
  </si>
  <si>
    <t xml:space="preserve">Payroll (Weekly)</t>
  </si>
  <si>
    <t xml:space="preserve">Weekly payroll cost. Model pays (weekly amount x avg weeks per pay period) on each pay date.</t>
  </si>
  <si>
    <t xml:space="preserve">Payroll Frequency (pay periods/mo)</t>
  </si>
  <si>
    <t xml:space="preserve">1=monthly, 2=bi-weekly, 4=weekly</t>
  </si>
  <si>
    <t xml:space="preserve">Rent / Facilities (Monthly)</t>
  </si>
  <si>
    <t xml:space="preserve">Lease + utilities; paid first week of month</t>
  </si>
  <si>
    <t xml:space="preserve">Insurance (Monthly)</t>
  </si>
  <si>
    <t xml:space="preserve">All lines of insurance</t>
  </si>
  <si>
    <t xml:space="preserve">IT &amp; Software (Monthly)</t>
  </si>
  <si>
    <t xml:space="preserve">SaaS + IT support</t>
  </si>
  <si>
    <t xml:space="preserve">Marketing &amp; Advertising (Weekly)</t>
  </si>
  <si>
    <t xml:space="preserve">Paid media + agency retainer</t>
  </si>
  <si>
    <t xml:space="preserve">Professional Fees (Weekly)</t>
  </si>
  <si>
    <t xml:space="preserve">Legal, accounting, consulting</t>
  </si>
  <si>
    <t xml:space="preserve">Other Operating Expenses (Weekly)</t>
  </si>
  <si>
    <t xml:space="preserve">Miscellaneous opex</t>
  </si>
  <si>
    <t xml:space="preserve">CAPITAL EXPENDITURES</t>
  </si>
  <si>
    <t xml:space="preserve">Planned CapEx (total 13-week period)</t>
  </si>
  <si>
    <t xml:space="preserve">One-off spend; 0 if none</t>
  </si>
  <si>
    <t xml:space="preserve">CapEx Payment Week</t>
  </si>
  <si>
    <t xml:space="preserve">Which week (1–13)</t>
  </si>
  <si>
    <t xml:space="preserve">FINANCING</t>
  </si>
  <si>
    <t xml:space="preserve">Revolving Credit Facility (Limit)</t>
  </si>
  <si>
    <t xml:space="preserve">Maximum draw on revolver</t>
  </si>
  <si>
    <t xml:space="preserve">Opening Revolver Balance</t>
  </si>
  <si>
    <t xml:space="preserve">Amount drawn at forecast start</t>
  </si>
  <si>
    <t xml:space="preserve">Revolver Interest Rate (Annual)</t>
  </si>
  <si>
    <t xml:space="preserve">Annual rate; model converts to weekly</t>
  </si>
  <si>
    <t xml:space="preserve">Term Loan Repayment (Weekly)</t>
  </si>
  <si>
    <t xml:space="preserve">Scheduled principal repayment per week</t>
  </si>
  <si>
    <t xml:space="preserve">Dividend / Distribution (Weekly)</t>
  </si>
  <si>
    <t xml:space="preserve">Owner distributions; 0 if none</t>
  </si>
  <si>
    <t xml:space="preserve">TAXES</t>
  </si>
  <si>
    <t xml:space="preserve">Estimated Tax Payment (total period)</t>
  </si>
  <si>
    <t xml:space="preserve">Quarterly estimated tax if due within 13 wks</t>
  </si>
  <si>
    <t xml:space="preserve">Tax Payment Week</t>
  </si>
  <si>
    <t xml:space="preserve">MINIMUM CASH TARGET</t>
  </si>
  <si>
    <t xml:space="preserve">Minimum Acceptable Cash Balance</t>
  </si>
  <si>
    <t xml:space="preserve">Covenant minimum or management floor</t>
  </si>
  <si>
    <t xml:space="preserve">13-Week Cash Flow Forecast</t>
  </si>
  <si>
    <t xml:space="preserve">WEEK →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</si>
  <si>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</si>
  <si>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</si>
  <si>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</si>
  <si>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</si>
  <si>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</si>
  <si>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</si>
  <si>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</si>
  <si>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</si>
  <si>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</si>
  <si>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</si>
  <si>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</si>
  <si>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</si>
  <si>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</si>
  <si>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13-Wk Total</t>
  </si>
  <si>
    <t xml:space="preserve">Week Ending (Sunday)</t>
  </si>
  <si>
    <t xml:space="preserve">-</t>
  </si>
  <si>
    <t xml:space="preserve">    Cash Sales (collected same week)</t>
  </si>
  <si>
    <t xml:space="preserve">    Collections on Credit Sales (lagged per DSO)</t>
  </si>
  <si>
    <t xml:space="preserve">    Other Cash Inflows  [input: grants, asset sales, etc.]</t>
  </si>
  <si>
    <t xml:space="preserve">    COGS Payments (lagged per DPO)</t>
  </si>
  <si>
    <t xml:space="preserve">    Payroll &amp; Benefits</t>
  </si>
  <si>
    <t xml:space="preserve">    Rent / Facilities</t>
  </si>
  <si>
    <t xml:space="preserve">    Insurance</t>
  </si>
  <si>
    <t xml:space="preserve">    IT &amp; Software</t>
  </si>
  <si>
    <t xml:space="preserve">    Marketing &amp; Advertising</t>
  </si>
  <si>
    <t xml:space="preserve">    Professional Fees</t>
  </si>
  <si>
    <t xml:space="preserve">    Other Operating Expenses</t>
  </si>
  <si>
    <t xml:space="preserve">    Capital Expenditures</t>
  </si>
  <si>
    <t xml:space="preserve">    Revolver Draws  [input]</t>
  </si>
  <si>
    <t xml:space="preserve">    Revolver Repayments  [input]</t>
  </si>
  <si>
    <t xml:space="preserve">    Term Loan Repayment</t>
  </si>
  <si>
    <t xml:space="preserve">    Interest Expense on Revolver</t>
  </si>
  <si>
    <t xml:space="preserve">    Dividends / Owner Distributions</t>
  </si>
  <si>
    <t xml:space="preserve">    Estimated Tax Payment</t>
  </si>
  <si>
    <t xml:space="preserve">Pulls from Forecast tab. Shows sources &amp; uses of cash each week.</t>
  </si>
  <si>
    <t xml:space="preserve">Week Ending →</t>
  </si>
  <si>
    <t xml:space="preserve">ITEM</t>
  </si>
  <si>
    <t xml:space="preserve">Business Stress Test  -  Connected to Your 13-Week Forecast</t>
  </si>
  <si>
    <t xml:space="preserve">Live from Forecast + Assumptions tabs. Blue cells = your inputs. Change assumptions and this sheet recalculates automatically.</t>
  </si>
  <si>
    <t xml:space="preserve">A.  BASE METRICS  -  Live From Your Forecast  (do not edit)</t>
  </si>
  <si>
    <t xml:space="preserve">From Assumptions tab</t>
  </si>
  <si>
    <t xml:space="preserve">Annual Revenue (52 × Base Weekly Revenue)</t>
  </si>
  <si>
    <t xml:space="preserve">Gross Margin % (1 − COGS %)</t>
  </si>
  <si>
    <t xml:space="preserve">Annual COGS</t>
  </si>
  <si>
    <t xml:space="preserve">Weekly Fixed Burn (OpEx excl payroll)</t>
  </si>
  <si>
    <t xml:space="preserve">Weekly Payroll</t>
  </si>
  <si>
    <t xml:space="preserve">Total Weekly Burn (OpEx + Payroll)</t>
  </si>
  <si>
    <t xml:space="preserve">Annual Fixed Costs (× 52)</t>
  </si>
  <si>
    <t xml:space="preserve">RCF Facility Limit</t>
  </si>
  <si>
    <t xml:space="preserve">From Forecast tab</t>
  </si>
  <si>
    <t xml:space="preserve">Opening Cash Balance (Forecast Wk 1)</t>
  </si>
  <si>
    <t xml:space="preserve">Undrawn Facility (Limit − Opening Revolver)</t>
  </si>
  <si>
    <t xml:space="preserve">Total Liquidity (Cash + Undrawn)</t>
  </si>
  <si>
    <t xml:space="preserve">Calculated Benchmarks</t>
  </si>
  <si>
    <t xml:space="preserve">Break-Even Revenue</t>
  </si>
  <si>
    <t xml:space="preserve">Margin of Safety (Revenue − Break-Even)</t>
  </si>
  <si>
    <t xml:space="preserve">Margin of Safety %</t>
  </si>
  <si>
    <t xml:space="preserve">Cash Runway (weeks at weekly burn)</t>
  </si>
  <si>
    <t xml:space="preserve">13-Week Forecast Closing Balance (Wk13)</t>
  </si>
  <si>
    <t xml:space="preserve">From Forecast tab row 48 col P</t>
  </si>
  <si>
    <t xml:space="preserve">B.  STRESS TEST ASSUMPTIONS  -  Blue cells: adjust to model your scenarios</t>
  </si>
  <si>
    <t xml:space="preserve">Scenario 1 - Revenue Shock</t>
  </si>
  <si>
    <t xml:space="preserve">Mild revenue drop %</t>
  </si>
  <si>
    <t xml:space="preserve">e.g. 10% - seasonal softness</t>
  </si>
  <si>
    <t xml:space="preserve">Base revenue drop %</t>
  </si>
  <si>
    <t xml:space="preserve">e.g. 20% - demand contraction</t>
  </si>
  <si>
    <t xml:space="preserve">Severe revenue drop %</t>
  </si>
  <si>
    <t xml:space="preserve">e.g. 35% - recession scenario</t>
  </si>
  <si>
    <t xml:space="preserve">Shock duration (months)</t>
  </si>
  <si>
    <t xml:space="preserve">How many months reduced revenue persists</t>
  </si>
  <si>
    <t xml:space="preserve">Scenario 2 - Customer Concentration</t>
  </si>
  <si>
    <t xml:space="preserve">Largest customer % of revenue</t>
  </si>
  <si>
    <t xml:space="preserve">Single largest client share</t>
  </si>
  <si>
    <t xml:space="preserve">% of that revenue lost</t>
  </si>
  <si>
    <t xml:space="preserve">1.0 = full loss, 0.5 = 50% reduction</t>
  </si>
  <si>
    <t xml:space="preserve">Replacement timeline (months)</t>
  </si>
  <si>
    <t xml:space="preserve">Months to replace lost revenue</t>
  </si>
  <si>
    <t xml:space="preserve">Scenario 3 - Cost Shock</t>
  </si>
  <si>
    <t xml:space="preserve">Labour / payroll cost increase %</t>
  </si>
  <si>
    <t xml:space="preserve">NLW or recruitment pressure</t>
  </si>
  <si>
    <t xml:space="preserve">Materials / COGS increase %</t>
  </si>
  <si>
    <t xml:space="preserve">Input cost inflation</t>
  </si>
  <si>
    <t xml:space="preserve">Cost increase passed on to customers %</t>
  </si>
  <si>
    <t xml:space="preserve">Pricing power - recovered via repricing</t>
  </si>
  <si>
    <t xml:space="preserve">Scenario 4 - Liquidity Crisis</t>
  </si>
  <si>
    <t xml:space="preserve">Bad debt written off (£)</t>
  </si>
  <si>
    <t xml:space="preserve">Customer insolvency / unrecoverable invoice</t>
  </si>
  <si>
    <t xml:space="preserve">Facility withdrawn (£)</t>
  </si>
  <si>
    <t xml:space="preserve">Partial or full overdraft / RCF frozen</t>
  </si>
  <si>
    <t xml:space="preserve">Unexpected cost hit (£)</t>
  </si>
  <si>
    <t xml:space="preserve">HMRC demand, legal cost, emergency repair</t>
  </si>
  <si>
    <t xml:space="preserve">Scenario 5 - Supply Chain</t>
  </si>
  <si>
    <t xml:space="preserve">Key supplier % of COGS</t>
  </si>
  <si>
    <t xml:space="preserve">Single most important supplier share</t>
  </si>
  <si>
    <t xml:space="preserve">Supplier price increase %</t>
  </si>
  <si>
    <t xml:space="preserve">Permanent or sustained price rise</t>
  </si>
  <si>
    <t xml:space="preserve">Supply disruption (weeks)</t>
  </si>
  <si>
    <t xml:space="preserve">Weeks of supply failure</t>
  </si>
  <si>
    <t xml:space="preserve">Safety stock held (weeks)</t>
  </si>
  <si>
    <t xml:space="preserve">Weeks you can trade without re-supply</t>
  </si>
  <si>
    <t xml:space="preserve">C.  SCENARIO RESULTS  -  Auto-calculated</t>
  </si>
  <si>
    <t xml:space="preserve">Metric</t>
  </si>
  <si>
    <t xml:space="preserve">Mild</t>
  </si>
  <si>
    <t xml:space="preserve">Base</t>
  </si>
  <si>
    <t xml:space="preserve">Severe</t>
  </si>
  <si>
    <t xml:space="preserve">New Annual Revenue</t>
  </si>
  <si>
    <t xml:space="preserve">Monthly Gross Profit after shock</t>
  </si>
  <si>
    <t xml:space="preserve">Monthly Fixed Costs (unchanged)</t>
  </si>
  <si>
    <t xml:space="preserve">Monthly Cash Shortfall / (Surplus)</t>
  </si>
  <si>
    <t xml:space="preserve">Weeks to Liquidity Exhaustion</t>
  </si>
  <si>
    <t xml:space="preserve">Still above break-even?</t>
  </si>
  <si>
    <t xml:space="preserve">New Margin of Safety %</t>
  </si>
  <si>
    <t xml:space="preserve">Revenue at risk (annual)</t>
  </si>
  <si>
    <t xml:space="preserve">New annual revenue</t>
  </si>
  <si>
    <t xml:space="preserve">Monthly shortfall at new revenue</t>
  </si>
  <si>
    <t xml:space="preserve">Weeks runway at shortfall</t>
  </si>
  <si>
    <t xml:space="preserve">Annual labour cost increase</t>
  </si>
  <si>
    <t xml:space="preserve">Annual COGS increase</t>
  </si>
  <si>
    <t xml:space="preserve">Total cost increase</t>
  </si>
  <si>
    <t xml:space="preserve">Recovered via repricing</t>
  </si>
  <si>
    <t xml:space="preserve">Net unrecovered cost (EBITDA impact)</t>
  </si>
  <si>
    <t xml:space="preserve">New Gross Margin %</t>
  </si>
  <si>
    <t xml:space="preserve">Total liquidity shock</t>
  </si>
  <si>
    <t xml:space="preserve">Remaining liquidity after shock</t>
  </si>
  <si>
    <t xml:space="preserve">Weeks runway post-shock</t>
  </si>
  <si>
    <t xml:space="preserve">Annual supplier cost increase</t>
  </si>
  <si>
    <t xml:space="preserve">New Gross Margin % after price shock</t>
  </si>
  <si>
    <t xml:space="preserve">Revenue at risk during disruption</t>
  </si>
  <si>
    <t xml:space="preserve">Safety stock covers disruption?</t>
  </si>
  <si>
    <t xml:space="preserve">D.  RAG SUMMARY  -  Base Scenario Breakpoints</t>
  </si>
  <si>
    <t xml:space="preserve">Scenario</t>
  </si>
  <si>
    <t xml:space="preserve">Key Result (Base)</t>
  </si>
  <si>
    <t xml:space="preserve">RAG</t>
  </si>
  <si>
    <t xml:space="preserve">Priority Action</t>
  </si>
  <si>
    <t xml:space="preserve">S1 Revenue Shock</t>
  </si>
  <si>
    <t xml:space="preserve">Chase debtors, draw facility, defer non-critical outflows</t>
  </si>
  <si>
    <t xml:space="preserve">S2 Customer Loss</t>
  </si>
  <si>
    <t xml:space="preserve">No single client above 20% of revenue - diversify pipeline now</t>
  </si>
  <si>
    <t xml:space="preserve">S3 Cost Shock</t>
  </si>
  <si>
    <t xml:space="preserve">Introduce price escalation clauses in all new contracts</t>
  </si>
  <si>
    <t xml:space="preserve">S4 Liquidity Crisis</t>
  </si>
  <si>
    <t xml:space="preserve">Maintain 12-week cash buffer; activate invoice financing facility</t>
  </si>
  <si>
    <t xml:space="preserve">S5 Supply Chain</t>
  </si>
  <si>
    <t xml:space="preserve">Qualify alternative supplier; set safety stock at lead time + 7 days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</si>
</sst>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\-mmm\-yy"/>
    <numFmt numFmtId="166" formatCode="#,##0_);\(#,##0\)"/>
    <numFmt numFmtId="167" formatCode="0.0%"/>
    <numFmt numFmtId="168" formatCode="0"/>
    <numFmt numFmtId="169" formatCode="\£#,##0"/>
    <numFmt numFmtId="170" formatCode="0.0&quot; wks&quot;"/>
    <numFmt numFmtId="171" formatCode="@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i val="true"/>
      <sz val="10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9"/>
      <color rgb="FF2D5F8A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8"/>
      <color rgb="FFAAAAAA"/>
      <name val="Arial"/>
      <family val="0"/>
      <charset val="1"/>
    </font>
    <font>
      <sz val="9"/>
      <color rgb="FF0000CC"/>
      <name val="Arial"/>
      <family val="0"/>
      <charset val="1"/>
    </font>
    <font>
      <i val="true"/>
      <sz val="9"/>
      <color rgb="FFAAAAAA"/>
      <name val="Arial"/>
      <family val="0"/>
      <charset val="1"/>
    </font>
  </fonts>
  <fills count="21">
    <fill>
      <patternFill patternType="none"/>
    </fill>
    <fill>
      <patternFill patternType="gray125"/>
    </fill>
    <fill>
      <patternFill patternType="solid">
        <fgColor rgb="FF1F3864"/>
        <bgColor rgb="FF444444"/>
      </patternFill>
    </fill>
    <fill>
      <patternFill patternType="solid">
        <fgColor rgb="FF2E5597"/>
        <bgColor rgb="FF2D5F8A"/>
      </patternFill>
    </fill>
    <fill>
      <patternFill patternType="solid">
        <fgColor rgb="FFFFFFFF"/>
        <bgColor rgb="FFFFF8E1"/>
      </patternFill>
    </fill>
    <fill>
      <patternFill patternType="solid">
        <fgColor rgb="FFF2F2F2"/>
        <bgColor rgb="FFE6F4EA"/>
      </patternFill>
    </fill>
    <fill>
      <patternFill patternType="solid">
        <fgColor rgb="FF4472C4"/>
        <bgColor rgb="FF2D5F8A"/>
      </patternFill>
    </fill>
    <fill>
      <patternFill patternType="solid">
        <fgColor rgb="FFFFFF00"/>
        <bgColor rgb="FFFFCC00"/>
      </patternFill>
    </fill>
    <fill>
      <patternFill patternType="solid">
        <fgColor rgb="FFDEEAF1"/>
        <bgColor rgb="FFDBEAFE"/>
      </patternFill>
    </fill>
    <fill>
      <patternFill patternType="solid">
        <fgColor rgb="FFBDD7EE"/>
        <bgColor rgb="FFCCCCCC"/>
      </patternFill>
    </fill>
    <fill>
      <patternFill patternType="solid">
        <fgColor rgb="FFE2EFDA"/>
        <bgColor rgb="FFE6F4EA"/>
      </patternFill>
    </fill>
    <fill>
      <patternFill patternType="solid">
        <fgColor rgb="FFFCE4D6"/>
        <bgColor rgb="FFFDECEA"/>
      </patternFill>
    </fill>
    <fill>
      <patternFill patternType="solid">
        <fgColor rgb="FF0D1B2A"/>
        <bgColor rgb="FF000000"/>
      </patternFill>
    </fill>
    <fill>
      <patternFill patternType="solid">
        <fgColor rgb="FFAAAAAA"/>
        <bgColor rgb="FFBFBFBF"/>
      </patternFill>
    </fill>
    <fill>
      <patternFill patternType="solid">
        <fgColor rgb="FF2D5F8A"/>
        <bgColor rgb="FF2E5597"/>
      </patternFill>
    </fill>
    <fill>
      <patternFill patternType="solid">
        <fgColor rgb="FFDBEAFE"/>
        <bgColor rgb="FFDEEAF1"/>
      </patternFill>
    </fill>
    <fill>
      <patternFill patternType="solid">
        <fgColor rgb="FFE6F4EA"/>
        <bgColor rgb="FFE2EFDA"/>
      </patternFill>
    </fill>
    <fill>
      <patternFill patternType="solid">
        <fgColor rgb="FFFFF8E1"/>
        <bgColor rgb="FFFDF3DC"/>
      </patternFill>
    </fill>
    <fill>
      <patternFill patternType="solid">
        <fgColor rgb="FFFDECEA"/>
        <bgColor rgb="FFFDF3DC"/>
      </patternFill>
    </fill>
    <fill>
      <patternFill patternType="solid">
        <fgColor rgb="FF444444"/>
        <bgColor rgb="FF595959"/>
      </patternFill>
    </fill>
    <fill>
      <patternFill patternType="solid">
        <fgColor rgb="FFFDF3DC"/>
        <bgColor rgb="FFFFF8E1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2" fillId="8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8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12" fillId="8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2" fillId="8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6" fillId="8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5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1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4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4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3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3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2" fillId="15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22" fillId="15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22" fillId="15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20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4" fillId="1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4" fillId="1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4" fillId="18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3" fillId="2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4" fillId="1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4" fillId="1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4" fillId="18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2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2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1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8E1"/>
      <rgbColor rgb="FFE6F4EA"/>
      <rgbColor rgb="FF660066"/>
      <rgbColor rgb="FFFF8080"/>
      <rgbColor rgb="FF2D5F8A"/>
      <rgbColor rgb="FFBDD7EE"/>
      <rgbColor rgb="FF000080"/>
      <rgbColor rgb="FFFF00FF"/>
      <rgbColor rgb="FFF2F2F2"/>
      <rgbColor rgb="FF00FFFF"/>
      <rgbColor rgb="FF800080"/>
      <rgbColor rgb="FF800000"/>
      <rgbColor rgb="FF008080"/>
      <rgbColor rgb="FF0000CC"/>
      <rgbColor rgb="FF00CCFF"/>
      <rgbColor rgb="FFDBEAFE"/>
      <rgbColor rgb="FFE2EFDA"/>
      <rgbColor rgb="FFFDF3DC"/>
      <rgbColor rgb="FFCCCCCC"/>
      <rgbColor rgb="FFFDECEA"/>
      <rgbColor rgb="FFDEEAF1"/>
      <rgbColor rgb="FFFCE4D6"/>
      <rgbColor rgb="FF4472C4"/>
      <rgbColor rgb="FF33CCCC"/>
      <rgbColor rgb="FF99CC00"/>
      <rgbColor rgb="FFFFCC00"/>
      <rgbColor rgb="FFFF9900"/>
      <rgbColor rgb="FFFF6600"/>
      <rgbColor rgb="FF595959"/>
      <rgbColor rgb="FFAAAAAA"/>
      <rgbColor rgb="FF1F3864"/>
      <rgbColor rgb="FF339966"/>
      <rgbColor rgb="FF0D1B2A"/>
      <rgbColor rgb="FF333300"/>
      <rgbColor rgb="FF993300"/>
      <rgbColor rgb="FF993366"/>
      <rgbColor rgb="FF2E5597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3" min="3" style="1" width="65"/>
  </cols>
  <sheetData>
    <row r="1" customFormat="false" ht="39.75" hidden="false" customHeight="true" outlineLevel="0" collapsed="false">
      <c r="B1" s="2" t="s">
        <v>0</v>
      </c>
      <c r="C1" s="2"/>
    </row>
    <row r="2" customFormat="false" ht="15.75" hidden="false" customHeight="true" outlineLevel="0" collapsed="false">
      <c r="B2" s="3" t="s">
        <v>1</v>
      </c>
      <c r="C2" s="3"/>
    </row>
    <row r="4" customFormat="false" ht="19.5" hidden="false" customHeight="true" outlineLevel="0" collapsed="false">
      <c r="B4" s="4" t="s">
        <v>2</v>
      </c>
      <c r="C4" s="4"/>
    </row>
    <row r="5" customFormat="false" ht="27.75" hidden="false" customHeight="true" outlineLevel="0" collapsed="false">
      <c r="B5" s="5" t="s">
        <v>3</v>
      </c>
      <c r="C5" s="5"/>
    </row>
    <row r="6" customFormat="false" ht="27.75" hidden="false" customHeight="true" outlineLevel="0" collapsed="false">
      <c r="B6" s="6" t="s">
        <v>4</v>
      </c>
      <c r="C6" s="6"/>
    </row>
    <row r="7" customFormat="false" ht="27.75" hidden="false" customHeight="true" outlineLevel="0" collapsed="false">
      <c r="B7" s="5" t="s">
        <v>5</v>
      </c>
      <c r="C7" s="5"/>
    </row>
    <row r="8" customFormat="false" ht="27.75" hidden="false" customHeight="true" outlineLevel="0" collapsed="false">
      <c r="B8" s="6" t="s">
        <v>6</v>
      </c>
      <c r="C8" s="6"/>
    </row>
    <row r="9" customFormat="false" ht="27.75" hidden="false" customHeight="true" outlineLevel="0" collapsed="false">
      <c r="B9" s="5" t="s">
        <v>7</v>
      </c>
      <c r="C9" s="5"/>
    </row>
    <row r="10" customFormat="false" ht="27.75" hidden="false" customHeight="true" outlineLevel="0" collapsed="false">
      <c r="B10" s="6" t="s">
        <v>8</v>
      </c>
      <c r="C10" s="6"/>
    </row>
    <row r="12" customFormat="false" ht="19.5" hidden="false" customHeight="true" outlineLevel="0" collapsed="false">
      <c r="B12" s="4" t="s">
        <v>9</v>
      </c>
      <c r="C12" s="4"/>
    </row>
    <row r="13" customFormat="false" ht="21.75" hidden="false" customHeight="true" outlineLevel="0" collapsed="false">
      <c r="B13" s="7" t="s">
        <v>10</v>
      </c>
      <c r="C13" s="7" t="s">
        <v>11</v>
      </c>
    </row>
    <row r="14" customFormat="false" ht="21.75" hidden="false" customHeight="true" outlineLevel="0" collapsed="false">
      <c r="B14" s="8" t="s">
        <v>12</v>
      </c>
      <c r="C14" s="8" t="s">
        <v>13</v>
      </c>
    </row>
    <row r="15" customFormat="false" ht="21.75" hidden="false" customHeight="true" outlineLevel="0" collapsed="false">
      <c r="B15" s="7" t="s">
        <v>14</v>
      </c>
      <c r="C15" s="7" t="s">
        <v>15</v>
      </c>
    </row>
    <row r="16" customFormat="false" ht="21.75" hidden="false" customHeight="true" outlineLevel="0" collapsed="false">
      <c r="B16" s="8" t="s">
        <v>16</v>
      </c>
      <c r="C16" s="8" t="s">
        <v>17</v>
      </c>
    </row>
    <row r="17" customFormat="false" ht="21.75" hidden="false" customHeight="true" outlineLevel="0" collapsed="false">
      <c r="B17" s="7" t="s">
        <v>18</v>
      </c>
      <c r="C17" s="7" t="s">
        <v>19</v>
      </c>
    </row>
    <row r="18" customFormat="false" ht="21.75" hidden="false" customHeight="true" outlineLevel="0" collapsed="false">
      <c r="B18" s="8" t="s">
        <v>20</v>
      </c>
      <c r="C18" s="8" t="s">
        <v>21</v>
      </c>
    </row>
  </sheetData>
  <sheetProtection sheet="true" password="ce4b"/>
  <mergeCells count="10">
    <mergeCell ref="B1:C1"/>
    <mergeCell ref="B2:C2"/>
    <mergeCell ref="B4:C4"/>
    <mergeCell ref="B5:C5"/>
    <mergeCell ref="B6:C6"/>
    <mergeCell ref="B7:C7"/>
    <mergeCell ref="B8:C8"/>
    <mergeCell ref="B9:C9"/>
    <mergeCell ref="B10:C10"/>
    <mergeCell ref="B12:C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0"/>
    <col collapsed="false" customWidth="true" hidden="false" outlineLevel="0" max="3" min="3" style="1" width="20"/>
    <col collapsed="false" customWidth="true" hidden="false" outlineLevel="0" max="4" min="4" style="1" width="45"/>
  </cols>
  <sheetData>
    <row r="1" customFormat="false" ht="36" hidden="false" customHeight="true" outlineLevel="0" collapsed="false">
      <c r="B1" s="9" t="s">
        <v>22</v>
      </c>
      <c r="C1" s="9"/>
      <c r="D1" s="9"/>
    </row>
    <row r="2" customFormat="false" ht="25.5" hidden="false" customHeight="true" outlineLevel="0" collapsed="false">
      <c r="B2" s="10" t="s">
        <v>23</v>
      </c>
      <c r="C2" s="11" t="s">
        <v>24</v>
      </c>
      <c r="D2" s="12" t="s">
        <v>25</v>
      </c>
    </row>
    <row r="3" customFormat="false" ht="18" hidden="false" customHeight="true" outlineLevel="0" collapsed="false">
      <c r="B3" s="13" t="s">
        <v>26</v>
      </c>
      <c r="C3" s="14" t="str">
        <f aca="false">IF(C2="USD ($)","$",IF(C2="GBP (£)","£","€"))</f>
        <v>$</v>
      </c>
      <c r="D3" s="13" t="s">
        <v>27</v>
      </c>
    </row>
    <row r="4" customFormat="false" ht="19.5" hidden="false" customHeight="true" outlineLevel="0" collapsed="false">
      <c r="B4" s="15" t="s">
        <v>28</v>
      </c>
      <c r="C4" s="15"/>
      <c r="D4" s="15"/>
    </row>
    <row r="5" customFormat="false" ht="19.5" hidden="false" customHeight="true" outlineLevel="0" collapsed="false">
      <c r="B5" s="16" t="s">
        <v>29</v>
      </c>
      <c r="C5" s="17" t="s">
        <v>30</v>
      </c>
      <c r="D5" s="18" t="s">
        <v>31</v>
      </c>
    </row>
    <row r="7" customFormat="false" ht="19.5" hidden="false" customHeight="true" outlineLevel="0" collapsed="false">
      <c r="B7" s="15" t="s">
        <v>32</v>
      </c>
      <c r="C7" s="15"/>
      <c r="D7" s="15"/>
    </row>
    <row r="8" customFormat="false" ht="19.5" hidden="false" customHeight="true" outlineLevel="0" collapsed="false">
      <c r="B8" s="19" t="s">
        <v>33</v>
      </c>
      <c r="C8" s="20" t="n">
        <v>500000</v>
      </c>
      <c r="D8" s="18" t="s">
        <v>34</v>
      </c>
    </row>
    <row r="9" customFormat="false" ht="19.5" hidden="false" customHeight="true" outlineLevel="0" collapsed="false">
      <c r="B9" s="19" t="s">
        <v>35</v>
      </c>
      <c r="C9" s="21" t="n">
        <v>0.005</v>
      </c>
      <c r="D9" s="18" t="s">
        <v>36</v>
      </c>
    </row>
    <row r="10" customFormat="false" ht="19.5" hidden="false" customHeight="true" outlineLevel="0" collapsed="false">
      <c r="B10" s="19" t="s">
        <v>37</v>
      </c>
      <c r="C10" s="22" t="n">
        <v>45</v>
      </c>
      <c r="D10" s="18" t="s">
        <v>38</v>
      </c>
    </row>
    <row r="11" customFormat="false" ht="19.5" hidden="false" customHeight="true" outlineLevel="0" collapsed="false">
      <c r="B11" s="19" t="s">
        <v>39</v>
      </c>
      <c r="C11" s="21" t="n">
        <v>0.2</v>
      </c>
      <c r="D11" s="18" t="s">
        <v>40</v>
      </c>
    </row>
    <row r="12" customFormat="false" ht="19.5" hidden="false" customHeight="true" outlineLevel="0" collapsed="false">
      <c r="B12" s="19" t="s">
        <v>41</v>
      </c>
      <c r="C12" s="22" t="n">
        <v>2</v>
      </c>
      <c r="D12" s="18" t="s">
        <v>42</v>
      </c>
    </row>
    <row r="14" customFormat="false" ht="19.5" hidden="false" customHeight="true" outlineLevel="0" collapsed="false">
      <c r="B14" s="15" t="s">
        <v>43</v>
      </c>
      <c r="C14" s="15"/>
      <c r="D14" s="15"/>
    </row>
    <row r="15" customFormat="false" ht="19.5" hidden="false" customHeight="true" outlineLevel="0" collapsed="false">
      <c r="B15" s="19" t="s">
        <v>44</v>
      </c>
      <c r="C15" s="21" t="n">
        <v>0.55</v>
      </c>
      <c r="D15" s="18" t="s">
        <v>45</v>
      </c>
    </row>
    <row r="16" customFormat="false" ht="19.5" hidden="false" customHeight="true" outlineLevel="0" collapsed="false">
      <c r="B16" s="19" t="s">
        <v>46</v>
      </c>
      <c r="C16" s="22" t="n">
        <v>1</v>
      </c>
      <c r="D16" s="18" t="s">
        <v>47</v>
      </c>
    </row>
    <row r="18" customFormat="false" ht="19.5" hidden="false" customHeight="true" outlineLevel="0" collapsed="false">
      <c r="B18" s="15" t="s">
        <v>48</v>
      </c>
      <c r="C18" s="15"/>
      <c r="D18" s="15"/>
    </row>
    <row r="19" customFormat="false" ht="19.5" hidden="false" customHeight="true" outlineLevel="0" collapsed="false">
      <c r="B19" s="19" t="s">
        <v>49</v>
      </c>
      <c r="C19" s="20" t="n">
        <v>85000</v>
      </c>
      <c r="D19" s="18" t="s">
        <v>50</v>
      </c>
    </row>
    <row r="20" customFormat="false" ht="19.5" hidden="false" customHeight="true" outlineLevel="0" collapsed="false">
      <c r="B20" s="19" t="s">
        <v>51</v>
      </c>
      <c r="C20" s="22" t="n">
        <v>2</v>
      </c>
      <c r="D20" s="18" t="s">
        <v>52</v>
      </c>
    </row>
    <row r="21" customFormat="false" ht="19.5" hidden="false" customHeight="true" outlineLevel="0" collapsed="false">
      <c r="B21" s="19" t="s">
        <v>53</v>
      </c>
      <c r="C21" s="20" t="n">
        <v>18000</v>
      </c>
      <c r="D21" s="18" t="s">
        <v>54</v>
      </c>
    </row>
    <row r="22" customFormat="false" ht="19.5" hidden="false" customHeight="true" outlineLevel="0" collapsed="false">
      <c r="B22" s="19" t="s">
        <v>55</v>
      </c>
      <c r="C22" s="20" t="n">
        <v>4500</v>
      </c>
      <c r="D22" s="18" t="s">
        <v>56</v>
      </c>
    </row>
    <row r="23" customFormat="false" ht="19.5" hidden="false" customHeight="true" outlineLevel="0" collapsed="false">
      <c r="B23" s="19" t="s">
        <v>57</v>
      </c>
      <c r="C23" s="20" t="n">
        <v>3200</v>
      </c>
      <c r="D23" s="18" t="s">
        <v>58</v>
      </c>
    </row>
    <row r="24" customFormat="false" ht="19.5" hidden="false" customHeight="true" outlineLevel="0" collapsed="false">
      <c r="B24" s="19" t="s">
        <v>59</v>
      </c>
      <c r="C24" s="20" t="n">
        <v>8000</v>
      </c>
      <c r="D24" s="18" t="s">
        <v>60</v>
      </c>
    </row>
    <row r="25" customFormat="false" ht="19.5" hidden="false" customHeight="true" outlineLevel="0" collapsed="false">
      <c r="B25" s="19" t="s">
        <v>61</v>
      </c>
      <c r="C25" s="20" t="n">
        <v>5000</v>
      </c>
      <c r="D25" s="18" t="s">
        <v>62</v>
      </c>
    </row>
    <row r="26" customFormat="false" ht="19.5" hidden="false" customHeight="true" outlineLevel="0" collapsed="false">
      <c r="B26" s="19" t="s">
        <v>63</v>
      </c>
      <c r="C26" s="20" t="n">
        <v>3500</v>
      </c>
      <c r="D26" s="18" t="s">
        <v>64</v>
      </c>
    </row>
    <row r="28" customFormat="false" ht="19.5" hidden="false" customHeight="true" outlineLevel="0" collapsed="false">
      <c r="B28" s="15" t="s">
        <v>65</v>
      </c>
      <c r="C28" s="15"/>
      <c r="D28" s="15"/>
    </row>
    <row r="29" customFormat="false" ht="19.5" hidden="false" customHeight="true" outlineLevel="0" collapsed="false">
      <c r="B29" s="16" t="s">
        <v>66</v>
      </c>
      <c r="C29" s="20" t="n">
        <v>0</v>
      </c>
      <c r="D29" s="18" t="s">
        <v>67</v>
      </c>
    </row>
    <row r="30" customFormat="false" ht="19.5" hidden="false" customHeight="true" outlineLevel="0" collapsed="false">
      <c r="B30" s="19" t="s">
        <v>68</v>
      </c>
      <c r="C30" s="22" t="n">
        <v>1</v>
      </c>
      <c r="D30" s="18" t="s">
        <v>69</v>
      </c>
    </row>
    <row r="32" customFormat="false" ht="19.5" hidden="false" customHeight="true" outlineLevel="0" collapsed="false">
      <c r="B32" s="15" t="s">
        <v>70</v>
      </c>
      <c r="C32" s="15"/>
      <c r="D32" s="15"/>
    </row>
    <row r="33" customFormat="false" ht="19.5" hidden="false" customHeight="true" outlineLevel="0" collapsed="false">
      <c r="B33" s="19" t="s">
        <v>71</v>
      </c>
      <c r="C33" s="20" t="n">
        <v>2000000</v>
      </c>
      <c r="D33" s="18" t="s">
        <v>72</v>
      </c>
    </row>
    <row r="34" customFormat="false" ht="19.5" hidden="false" customHeight="true" outlineLevel="0" collapsed="false">
      <c r="B34" s="19" t="s">
        <v>73</v>
      </c>
      <c r="C34" s="20" t="n">
        <v>0</v>
      </c>
      <c r="D34" s="18" t="s">
        <v>74</v>
      </c>
    </row>
    <row r="35" customFormat="false" ht="19.5" hidden="false" customHeight="true" outlineLevel="0" collapsed="false">
      <c r="B35" s="19" t="s">
        <v>75</v>
      </c>
      <c r="C35" s="21" t="n">
        <v>0.065</v>
      </c>
      <c r="D35" s="18" t="s">
        <v>76</v>
      </c>
    </row>
    <row r="36" customFormat="false" ht="19.5" hidden="false" customHeight="true" outlineLevel="0" collapsed="false">
      <c r="B36" s="19" t="s">
        <v>77</v>
      </c>
      <c r="C36" s="20" t="n">
        <v>0</v>
      </c>
      <c r="D36" s="18" t="s">
        <v>78</v>
      </c>
    </row>
    <row r="37" customFormat="false" ht="19.5" hidden="false" customHeight="true" outlineLevel="0" collapsed="false">
      <c r="B37" s="19" t="s">
        <v>79</v>
      </c>
      <c r="C37" s="20" t="n">
        <v>0</v>
      </c>
      <c r="D37" s="18" t="s">
        <v>80</v>
      </c>
    </row>
    <row r="39" customFormat="false" ht="19.5" hidden="false" customHeight="true" outlineLevel="0" collapsed="false">
      <c r="B39" s="15" t="s">
        <v>81</v>
      </c>
      <c r="C39" s="15"/>
      <c r="D39" s="15"/>
    </row>
    <row r="40" customFormat="false" ht="19.5" hidden="false" customHeight="true" outlineLevel="0" collapsed="false">
      <c r="B40" s="16" t="s">
        <v>82</v>
      </c>
      <c r="C40" s="20" t="n">
        <v>0</v>
      </c>
      <c r="D40" s="18" t="s">
        <v>83</v>
      </c>
    </row>
    <row r="41" customFormat="false" ht="19.5" hidden="false" customHeight="true" outlineLevel="0" collapsed="false">
      <c r="B41" s="19" t="s">
        <v>84</v>
      </c>
      <c r="C41" s="22" t="n">
        <v>1</v>
      </c>
      <c r="D41" s="18" t="s">
        <v>69</v>
      </c>
    </row>
    <row r="43" customFormat="false" ht="19.5" hidden="false" customHeight="true" outlineLevel="0" collapsed="false">
      <c r="B43" s="15" t="s">
        <v>85</v>
      </c>
      <c r="C43" s="15"/>
      <c r="D43" s="15"/>
    </row>
    <row r="44" customFormat="false" ht="19.5" hidden="false" customHeight="true" outlineLevel="0" collapsed="false">
      <c r="B44" s="16" t="s">
        <v>86</v>
      </c>
      <c r="C44" s="20" t="n">
        <v>150000</v>
      </c>
      <c r="D44" s="18" t="s">
        <v>87</v>
      </c>
    </row>
  </sheetData>
  <sheetProtection sheet="true" password="ce4b"/>
  <mergeCells count="9">
    <mergeCell ref="B1:D1"/>
    <mergeCell ref="B4:D4"/>
    <mergeCell ref="B7:D7"/>
    <mergeCell ref="B14:D14"/>
    <mergeCell ref="B18:D18"/>
    <mergeCell ref="B28:D28"/>
    <mergeCell ref="B32:D32"/>
    <mergeCell ref="B39:D39"/>
    <mergeCell ref="B43:D43"/>
  </mergeCells>
  <dataValidations count="1">
    <dataValidation allowBlank="false" errorStyle="stop" operator="between" showDropDown="false" showErrorMessage="false" showInputMessage="false" sqref="C2" type="list">
      <formula1>"USD ($),GBP (£),EUR (€)"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5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22" activePane="bottomRight" state="frozen"/>
      <selection pane="topLeft" activeCell="A1" activeCellId="0" sqref="A1"/>
      <selection pane="topRight" activeCell="C1" activeCellId="0" sqref="C1"/>
      <selection pane="bottomLeft" activeCell="A22" activeCellId="0" sqref="A22"/>
      <selection pane="bottomRight" activeCell="A1" activeCellId="0" sqref="A1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40"/>
    <col collapsed="false" customWidth="true" hidden="false" outlineLevel="0" max="16" min="3" style="1" width="13"/>
  </cols>
  <sheetData>
    <row r="1" customFormat="false" ht="37.5" hidden="false" customHeight="true" outlineLevel="0" collapsed="false">
      <c r="B1" s="2" t="s">
        <v>88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B2" s="3" t="str">
        <f aca="false">"All amounts in "&amp;Assumptions!C2&amp;". Blue = input. Black = formula. Currency symbol shown in section headers."</f>
        <v>All amounts in USD ($). Blue = input. Black = formula. Currency symbol shown in section headers.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4" customFormat="false" ht="21.75" hidden="false" customHeight="true" outlineLevel="0" collapsed="false">
      <c r="B4" s="23" t="s">
        <v>89</v>
      </c>
      <c r="C4" s="24" t="s">
        <v>90</v>
      </c>
      <c r="D4" s="24" t="s">
        <v>91</v>
      </c>
      <c r="E4" s="24" t="s">
        <v>92</v>
      </c>
      <c r="F4" s="24" t="s">
        <v>93</v>
      </c>
      <c r="G4" s="24" t="s">
        <v>94</v>
      </c>
      <c r="H4" s="24" t="s">
        <v>95</v>
      </c>
      <c r="I4" s="24" t="s">
        <v>96</v>
      </c>
      <c r="J4" s="24" t="s">
        <v>97</v>
      </c>
      <c r="K4" s="24" t="s">
        <v>98</v>
      </c>
      <c r="L4" s="24" t="s">
        <v>99</v>
      </c>
      <c r="M4" s="24" t="s">
        <v>100</v>
      </c>
      <c r="N4" s="24" t="s">
        <v>101</v>
      </c>
      <c r="O4" s="24" t="s">
        <v>102</v>
      </c>
      <c r="P4" s="24" t="s">
        <v>103</v>
      </c>
    </row>
    <row r="5" customFormat="false" ht="19.5" hidden="false" customHeight="true" outlineLevel="0" collapsed="false">
      <c r="B5" s="25" t="s">
        <v>104</v>
      </c>
      <c r="C5" s="26" t="n">
        <f aca="false">Assumptions!C5+6</f>
        <v>45669</v>
      </c>
      <c r="D5" s="26" t="n">
        <f aca="false">C5+7</f>
        <v>45676</v>
      </c>
      <c r="E5" s="26" t="n">
        <f aca="false">D5+7</f>
        <v>45683</v>
      </c>
      <c r="F5" s="26" t="n">
        <f aca="false">E5+7</f>
        <v>45690</v>
      </c>
      <c r="G5" s="26" t="n">
        <f aca="false">F5+7</f>
        <v>45697</v>
      </c>
      <c r="H5" s="26" t="n">
        <f aca="false">G5+7</f>
        <v>45704</v>
      </c>
      <c r="I5" s="26" t="n">
        <f aca="false">H5+7</f>
        <v>45711</v>
      </c>
      <c r="J5" s="26" t="n">
        <f aca="false">I5+7</f>
        <v>45718</v>
      </c>
      <c r="K5" s="26" t="n">
        <f aca="false">J5+7</f>
        <v>45725</v>
      </c>
      <c r="L5" s="26" t="n">
        <f aca="false">K5+7</f>
        <v>45732</v>
      </c>
      <c r="M5" s="26" t="n">
        <f aca="false">L5+7</f>
        <v>45739</v>
      </c>
      <c r="N5" s="26" t="n">
        <f aca="false">M5+7</f>
        <v>45746</v>
      </c>
      <c r="O5" s="26" t="n">
        <f aca="false">N5+7</f>
        <v>45753</v>
      </c>
      <c r="P5" s="27" t="s">
        <v>105</v>
      </c>
    </row>
    <row r="6" customFormat="false" ht="24" hidden="false" customHeight="true" outlineLevel="0" collapsed="false">
      <c r="B6" s="28" t="str">
        <f aca="false">"Opening Cash Balance ("&amp;Assumptions!C3&amp;")"</f>
        <v>Opening Cash Balance ($)</v>
      </c>
      <c r="C6" s="29" t="n">
        <v>250000</v>
      </c>
      <c r="D6" s="30" t="n">
        <f aca="false">C48</f>
        <v>307800</v>
      </c>
      <c r="E6" s="30" t="n">
        <f aca="false">D48</f>
        <v>-67352.5</v>
      </c>
      <c r="F6" s="30" t="n">
        <f aca="false">E48</f>
        <v>140775</v>
      </c>
      <c r="G6" s="30" t="n">
        <f aca="false">F48</f>
        <v>165873.1375</v>
      </c>
      <c r="H6" s="30" t="n">
        <f aca="false">G48</f>
        <v>350552.5281875</v>
      </c>
      <c r="I6" s="30" t="n">
        <f aca="false">H48</f>
        <v>377913.815828437</v>
      </c>
      <c r="J6" s="30" t="n">
        <f aca="false">I48</f>
        <v>590567.672407579</v>
      </c>
      <c r="K6" s="30" t="n">
        <f aca="false">J48</f>
        <v>620214.798269617</v>
      </c>
      <c r="L6" s="30" t="n">
        <f aca="false">K48</f>
        <v>809465.922260965</v>
      </c>
      <c r="M6" s="30" t="n">
        <f aca="false">L48</f>
        <v>841421.80187227</v>
      </c>
      <c r="N6" s="30" t="n">
        <f aca="false">M48</f>
        <v>1058693.22338163</v>
      </c>
      <c r="O6" s="30" t="n">
        <f aca="false">N48</f>
        <v>1092981.00199854</v>
      </c>
      <c r="P6" s="30" t="n">
        <f aca="false">C6</f>
        <v>250000</v>
      </c>
    </row>
    <row r="8" customFormat="false" ht="21.75" hidden="false" customHeight="true" outlineLevel="0" collapsed="false">
      <c r="B8" s="31" t="str">
        <f aca="false">"▸  CASH INFLOWS ("&amp;Assumptions!C3&amp;")"</f>
        <v>▸  CASH INFLOWS ($)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customFormat="false" ht="19.5" hidden="false" customHeight="true" outlineLevel="0" collapsed="false">
      <c r="B9" s="19" t="s">
        <v>106</v>
      </c>
      <c r="C9" s="33" t="n">
        <f aca="false">Assumptions!C8*(1+Assumptions!C9)^0*Assumptions!C11</f>
        <v>100000</v>
      </c>
      <c r="D9" s="33" t="n">
        <f aca="false">Assumptions!C8*(1+Assumptions!C9)^1*Assumptions!C11</f>
        <v>100500</v>
      </c>
      <c r="E9" s="33" t="n">
        <f aca="false">Assumptions!C8*(1+Assumptions!C9)^2*Assumptions!C11</f>
        <v>101002.5</v>
      </c>
      <c r="F9" s="33" t="n">
        <f aca="false">Assumptions!C8*(1+Assumptions!C9)^3*Assumptions!C11</f>
        <v>101507.5125</v>
      </c>
      <c r="G9" s="33" t="n">
        <f aca="false">Assumptions!C8*(1+Assumptions!C9)^4*Assumptions!C11</f>
        <v>102015.0500625</v>
      </c>
      <c r="H9" s="33" t="n">
        <f aca="false">Assumptions!C8*(1+Assumptions!C9)^5*Assumptions!C11</f>
        <v>102525.125312812</v>
      </c>
      <c r="I9" s="33" t="n">
        <f aca="false">Assumptions!C8*(1+Assumptions!C9)^6*Assumptions!C11</f>
        <v>103037.750939377</v>
      </c>
      <c r="J9" s="33" t="n">
        <f aca="false">Assumptions!C8*(1+Assumptions!C9)^7*Assumptions!C11</f>
        <v>103552.939694073</v>
      </c>
      <c r="K9" s="33" t="n">
        <f aca="false">Assumptions!C8*(1+Assumptions!C9)^8*Assumptions!C11</f>
        <v>104070.704392544</v>
      </c>
      <c r="L9" s="33" t="n">
        <f aca="false">Assumptions!C8*(1+Assumptions!C9)^9*Assumptions!C11</f>
        <v>104591.057914506</v>
      </c>
      <c r="M9" s="33" t="n">
        <f aca="false">Assumptions!C8*(1+Assumptions!C9)^10*Assumptions!C11</f>
        <v>105114.013204079</v>
      </c>
      <c r="N9" s="33" t="n">
        <f aca="false">Assumptions!C8*(1+Assumptions!C9)^11*Assumptions!C11</f>
        <v>105639.583270099</v>
      </c>
      <c r="O9" s="33" t="n">
        <f aca="false">Assumptions!C8*(1+Assumptions!C9)^12*Assumptions!C11</f>
        <v>106167.78118645</v>
      </c>
      <c r="P9" s="34" t="n">
        <f aca="false">SUM(C9:O9)</f>
        <v>1339724.01847644</v>
      </c>
    </row>
    <row r="10" customFormat="false" ht="19.5" hidden="false" customHeight="true" outlineLevel="0" collapsed="false">
      <c r="B10" s="19" t="s">
        <v>107</v>
      </c>
      <c r="C10" s="33" t="n">
        <v>0</v>
      </c>
      <c r="D10" s="33" t="n">
        <v>0</v>
      </c>
      <c r="E10" s="33" t="n">
        <f aca="false">Assumptions!C8*(1+Assumptions!C9)^0*(1-Assumptions!C11)</f>
        <v>400000</v>
      </c>
      <c r="F10" s="33" t="n">
        <f aca="false">Assumptions!C8*(1+Assumptions!C9)^1*(1-Assumptions!C11)</f>
        <v>402000</v>
      </c>
      <c r="G10" s="33" t="n">
        <f aca="false">Assumptions!C8*(1+Assumptions!C9)^2*(1-Assumptions!C11)</f>
        <v>404010</v>
      </c>
      <c r="H10" s="33" t="n">
        <f aca="false">Assumptions!C8*(1+Assumptions!C9)^3*(1-Assumptions!C11)</f>
        <v>406030.05</v>
      </c>
      <c r="I10" s="33" t="n">
        <f aca="false">Assumptions!C8*(1+Assumptions!C9)^4*(1-Assumptions!C11)</f>
        <v>408060.20025</v>
      </c>
      <c r="J10" s="33" t="n">
        <f aca="false">Assumptions!C8*(1+Assumptions!C9)^5*(1-Assumptions!C11)</f>
        <v>410100.50125125</v>
      </c>
      <c r="K10" s="33" t="n">
        <f aca="false">Assumptions!C8*(1+Assumptions!C9)^6*(1-Assumptions!C11)</f>
        <v>412151.003757506</v>
      </c>
      <c r="L10" s="33" t="n">
        <f aca="false">Assumptions!C8*(1+Assumptions!C9)^7*(1-Assumptions!C11)</f>
        <v>414211.758776294</v>
      </c>
      <c r="M10" s="33" t="n">
        <f aca="false">Assumptions!C8*(1+Assumptions!C9)^8*(1-Assumptions!C11)</f>
        <v>416282.817570175</v>
      </c>
      <c r="N10" s="33" t="n">
        <f aca="false">Assumptions!C8*(1+Assumptions!C9)^9*(1-Assumptions!C11)</f>
        <v>418364.231658026</v>
      </c>
      <c r="O10" s="33" t="n">
        <f aca="false">Assumptions!C8*(1+Assumptions!C9)^10*(1-Assumptions!C11)</f>
        <v>420456.052816316</v>
      </c>
      <c r="P10" s="34" t="n">
        <f aca="false">SUM(C10:O10)</f>
        <v>4511666.61607957</v>
      </c>
    </row>
    <row r="11" customFormat="false" ht="19.5" hidden="false" customHeight="true" outlineLevel="0" collapsed="false">
      <c r="B11" s="19" t="s">
        <v>108</v>
      </c>
      <c r="C11" s="20" t="n">
        <v>0</v>
      </c>
      <c r="D11" s="20" t="n">
        <v>0</v>
      </c>
      <c r="E11" s="20" t="n">
        <v>0</v>
      </c>
      <c r="F11" s="20" t="n">
        <v>0</v>
      </c>
      <c r="G11" s="20" t="n">
        <v>0</v>
      </c>
      <c r="H11" s="20" t="n">
        <v>0</v>
      </c>
      <c r="I11" s="20" t="n">
        <v>0</v>
      </c>
      <c r="J11" s="20" t="n">
        <v>0</v>
      </c>
      <c r="K11" s="20" t="n">
        <v>0</v>
      </c>
      <c r="L11" s="20" t="n">
        <v>0</v>
      </c>
      <c r="M11" s="20" t="n">
        <v>0</v>
      </c>
      <c r="N11" s="20" t="n">
        <v>0</v>
      </c>
      <c r="O11" s="20" t="n">
        <v>0</v>
      </c>
      <c r="P11" s="34" t="n">
        <f aca="false">SUM(C11:O11)</f>
        <v>0</v>
      </c>
    </row>
    <row r="12" customFormat="false" ht="21.75" hidden="false" customHeight="true" outlineLevel="0" collapsed="false">
      <c r="B12" s="28" t="str">
        <f aca="false">"TOTAL CASH INFLOWS ("&amp;Assumptions!C3&amp;")"</f>
        <v>TOTAL CASH INFLOWS ($)</v>
      </c>
      <c r="C12" s="30" t="n">
        <f aca="false">C9+C10+C11</f>
        <v>100000</v>
      </c>
      <c r="D12" s="30" t="n">
        <f aca="false">D9+D10+D11</f>
        <v>100500</v>
      </c>
      <c r="E12" s="30" t="n">
        <f aca="false">E9+E10+E11</f>
        <v>501002.5</v>
      </c>
      <c r="F12" s="30" t="n">
        <f aca="false">F9+F10+F11</f>
        <v>503507.5125</v>
      </c>
      <c r="G12" s="30" t="n">
        <f aca="false">G9+G10+G11</f>
        <v>506025.0500625</v>
      </c>
      <c r="H12" s="30" t="n">
        <f aca="false">H9+H10+H11</f>
        <v>508555.175312812</v>
      </c>
      <c r="I12" s="30" t="n">
        <f aca="false">I9+I10+I11</f>
        <v>511097.951189376</v>
      </c>
      <c r="J12" s="30" t="n">
        <f aca="false">J9+J10+J11</f>
        <v>513653.440945323</v>
      </c>
      <c r="K12" s="30" t="n">
        <f aca="false">K9+K10+K11</f>
        <v>516221.70815005</v>
      </c>
      <c r="L12" s="30" t="n">
        <f aca="false">L9+L10+L11</f>
        <v>518802.8166908</v>
      </c>
      <c r="M12" s="30" t="n">
        <f aca="false">M9+M10+M11</f>
        <v>521396.830774254</v>
      </c>
      <c r="N12" s="30" t="n">
        <f aca="false">N9+N10+N11</f>
        <v>524003.814928125</v>
      </c>
      <c r="O12" s="30" t="n">
        <f aca="false">O9+O10+O11</f>
        <v>526623.834002766</v>
      </c>
      <c r="P12" s="30" t="n">
        <f aca="false">P9+P10+P11</f>
        <v>5851390.63455601</v>
      </c>
    </row>
    <row r="14" customFormat="false" ht="21.75" hidden="false" customHeight="true" outlineLevel="0" collapsed="false">
      <c r="B14" s="31" t="str">
        <f aca="false">"▸  COST OF GOODS SOLD ("&amp;Assumptions!C3&amp;")"</f>
        <v>▸  COST OF GOODS SOLD ($)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customFormat="false" ht="19.5" hidden="false" customHeight="true" outlineLevel="0" collapsed="false">
      <c r="B15" s="19" t="s">
        <v>109</v>
      </c>
      <c r="C15" s="33" t="n">
        <v>0</v>
      </c>
      <c r="D15" s="33" t="n">
        <f aca="false">Assumptions!C8*(1+Assumptions!C9)^0*Assumptions!C15</f>
        <v>275000</v>
      </c>
      <c r="E15" s="33" t="n">
        <f aca="false">Assumptions!C8*(1+Assumptions!C9)^1*Assumptions!C15</f>
        <v>276375</v>
      </c>
      <c r="F15" s="33" t="n">
        <f aca="false">Assumptions!C8*(1+Assumptions!C9)^2*Assumptions!C15</f>
        <v>277756.875</v>
      </c>
      <c r="G15" s="33" t="n">
        <f aca="false">Assumptions!C8*(1+Assumptions!C9)^3*Assumptions!C15</f>
        <v>279145.659375</v>
      </c>
      <c r="H15" s="33" t="n">
        <f aca="false">Assumptions!C8*(1+Assumptions!C9)^4*Assumptions!C15</f>
        <v>280541.387671875</v>
      </c>
      <c r="I15" s="33" t="n">
        <f aca="false">Assumptions!C8*(1+Assumptions!C9)^5*Assumptions!C15</f>
        <v>281944.094610234</v>
      </c>
      <c r="J15" s="33" t="n">
        <f aca="false">Assumptions!C8*(1+Assumptions!C9)^6*Assumptions!C15</f>
        <v>283353.815083285</v>
      </c>
      <c r="K15" s="33" t="n">
        <f aca="false">Assumptions!C8*(1+Assumptions!C9)^7*Assumptions!C15</f>
        <v>284770.584158702</v>
      </c>
      <c r="L15" s="33" t="n">
        <f aca="false">Assumptions!C8*(1+Assumptions!C9)^8*Assumptions!C15</f>
        <v>286194.437079495</v>
      </c>
      <c r="M15" s="33" t="n">
        <f aca="false">Assumptions!C8*(1+Assumptions!C9)^9*Assumptions!C15</f>
        <v>287625.409264893</v>
      </c>
      <c r="N15" s="33" t="n">
        <f aca="false">Assumptions!C8*(1+Assumptions!C9)^10*Assumptions!C15</f>
        <v>289063.536311217</v>
      </c>
      <c r="O15" s="33" t="n">
        <f aca="false">Assumptions!C8*(1+Assumptions!C9)^11*Assumptions!C15</f>
        <v>290508.853992773</v>
      </c>
      <c r="P15" s="34" t="n">
        <f aca="false">SUM(C15:O15)</f>
        <v>3392279.65254747</v>
      </c>
    </row>
    <row r="16" customFormat="false" ht="21.75" hidden="false" customHeight="true" outlineLevel="0" collapsed="false">
      <c r="B16" s="28" t="str">
        <f aca="false">"TOTAL COGS ("&amp;Assumptions!C3&amp;")"</f>
        <v>TOTAL COGS ($)</v>
      </c>
      <c r="C16" s="30" t="n">
        <f aca="false">C15</f>
        <v>0</v>
      </c>
      <c r="D16" s="30" t="n">
        <f aca="false">D15</f>
        <v>275000</v>
      </c>
      <c r="E16" s="30" t="n">
        <f aca="false">E15</f>
        <v>276375</v>
      </c>
      <c r="F16" s="30" t="n">
        <f aca="false">F15</f>
        <v>277756.875</v>
      </c>
      <c r="G16" s="30" t="n">
        <f aca="false">G15</f>
        <v>279145.659375</v>
      </c>
      <c r="H16" s="30" t="n">
        <f aca="false">H15</f>
        <v>280541.387671875</v>
      </c>
      <c r="I16" s="30" t="n">
        <f aca="false">I15</f>
        <v>281944.094610234</v>
      </c>
      <c r="J16" s="30" t="n">
        <f aca="false">J15</f>
        <v>283353.815083285</v>
      </c>
      <c r="K16" s="30" t="n">
        <f aca="false">K15</f>
        <v>284770.584158702</v>
      </c>
      <c r="L16" s="30" t="n">
        <f aca="false">L15</f>
        <v>286194.437079495</v>
      </c>
      <c r="M16" s="30" t="n">
        <f aca="false">M15</f>
        <v>287625.409264893</v>
      </c>
      <c r="N16" s="30" t="n">
        <f aca="false">N15</f>
        <v>289063.536311217</v>
      </c>
      <c r="O16" s="30" t="n">
        <f aca="false">O15</f>
        <v>290508.853992773</v>
      </c>
      <c r="P16" s="30" t="n">
        <f aca="false">P15</f>
        <v>3392279.65254747</v>
      </c>
    </row>
    <row r="18" customFormat="false" ht="21.75" hidden="false" customHeight="true" outlineLevel="0" collapsed="false">
      <c r="B18" s="31" t="str">
        <f aca="false">"▸  OPERATING EXPENSES ("&amp;Assumptions!C3&amp;")"</f>
        <v>▸  OPERATING EXPENSES ($)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customFormat="false" ht="19.5" hidden="false" customHeight="true" outlineLevel="0" collapsed="false">
      <c r="B19" s="19" t="s">
        <v>110</v>
      </c>
      <c r="C19" s="33" t="n">
        <f aca="false">IF(MOD(1,Assumptions!C20)=0,Assumptions!C19*(4.333/Assumptions!C20),0)</f>
        <v>0</v>
      </c>
      <c r="D19" s="33" t="n">
        <f aca="false">IF(MOD(2,Assumptions!C20)=0,Assumptions!C19*(4.333/Assumptions!C20),0)</f>
        <v>184152.5</v>
      </c>
      <c r="E19" s="33" t="n">
        <f aca="false">IF(MOD(3,Assumptions!C20)=0,Assumptions!C19*(4.333/Assumptions!C20),0)</f>
        <v>0</v>
      </c>
      <c r="F19" s="33" t="n">
        <f aca="false">IF(MOD(4,Assumptions!C20)=0,Assumptions!C19*(4.333/Assumptions!C20),0)</f>
        <v>184152.5</v>
      </c>
      <c r="G19" s="33" t="n">
        <f aca="false">IF(MOD(5,Assumptions!C20)=0,Assumptions!C19*(4.333/Assumptions!C20),0)</f>
        <v>0</v>
      </c>
      <c r="H19" s="33" t="n">
        <f aca="false">IF(MOD(6,Assumptions!C20)=0,Assumptions!C19*(4.333/Assumptions!C20),0)</f>
        <v>184152.5</v>
      </c>
      <c r="I19" s="33" t="n">
        <f aca="false">IF(MOD(7,Assumptions!C20)=0,Assumptions!C19*(4.333/Assumptions!C20),0)</f>
        <v>0</v>
      </c>
      <c r="J19" s="33" t="n">
        <f aca="false">IF(MOD(8,Assumptions!C20)=0,Assumptions!C19*(4.333/Assumptions!C20),0)</f>
        <v>184152.5</v>
      </c>
      <c r="K19" s="33" t="n">
        <f aca="false">IF(MOD(9,Assumptions!C20)=0,Assumptions!C19*(4.333/Assumptions!C20),0)</f>
        <v>0</v>
      </c>
      <c r="L19" s="33" t="n">
        <f aca="false">IF(MOD(10,Assumptions!C20)=0,Assumptions!C19*(4.333/Assumptions!C20),0)</f>
        <v>184152.5</v>
      </c>
      <c r="M19" s="33" t="n">
        <f aca="false">IF(MOD(11,Assumptions!C20)=0,Assumptions!C19*(4.333/Assumptions!C20),0)</f>
        <v>0</v>
      </c>
      <c r="N19" s="33" t="n">
        <f aca="false">IF(MOD(12,Assumptions!C20)=0,Assumptions!C19*(4.333/Assumptions!C20),0)</f>
        <v>184152.5</v>
      </c>
      <c r="O19" s="33" t="n">
        <f aca="false">IF(MOD(13,Assumptions!C20)=0,Assumptions!C19*(4.333/Assumptions!C20),0)</f>
        <v>0</v>
      </c>
      <c r="P19" s="34" t="n">
        <f aca="false">SUM(C19:O19)</f>
        <v>1104915</v>
      </c>
    </row>
    <row r="20" customFormat="false" ht="19.5" hidden="false" customHeight="true" outlineLevel="0" collapsed="false">
      <c r="B20" s="19" t="s">
        <v>111</v>
      </c>
      <c r="C20" s="33" t="n">
        <f aca="false">Assumptions!C21</f>
        <v>18000</v>
      </c>
      <c r="D20" s="33" t="n">
        <v>0</v>
      </c>
      <c r="E20" s="33" t="n">
        <v>0</v>
      </c>
      <c r="F20" s="33" t="n">
        <v>0</v>
      </c>
      <c r="G20" s="33" t="n">
        <f aca="false">Assumptions!C21</f>
        <v>18000</v>
      </c>
      <c r="H20" s="33" t="n">
        <v>0</v>
      </c>
      <c r="I20" s="33" t="n">
        <v>0</v>
      </c>
      <c r="J20" s="33" t="n">
        <v>0</v>
      </c>
      <c r="K20" s="33" t="n">
        <f aca="false">Assumptions!C21</f>
        <v>18000</v>
      </c>
      <c r="L20" s="33" t="n">
        <v>0</v>
      </c>
      <c r="M20" s="33" t="n">
        <v>0</v>
      </c>
      <c r="N20" s="33" t="n">
        <v>0</v>
      </c>
      <c r="O20" s="33" t="n">
        <f aca="false">Assumptions!C21</f>
        <v>18000</v>
      </c>
      <c r="P20" s="34" t="n">
        <f aca="false">SUM(C20:O20)</f>
        <v>72000</v>
      </c>
    </row>
    <row r="21" customFormat="false" ht="19.5" hidden="false" customHeight="true" outlineLevel="0" collapsed="false">
      <c r="B21" s="19" t="s">
        <v>112</v>
      </c>
      <c r="C21" s="33" t="n">
        <f aca="false">Assumptions!C22</f>
        <v>4500</v>
      </c>
      <c r="D21" s="33" t="n">
        <v>0</v>
      </c>
      <c r="E21" s="33" t="n">
        <v>0</v>
      </c>
      <c r="F21" s="33" t="n">
        <v>0</v>
      </c>
      <c r="G21" s="33" t="n">
        <f aca="false">Assumptions!C22</f>
        <v>4500</v>
      </c>
      <c r="H21" s="33" t="n">
        <v>0</v>
      </c>
      <c r="I21" s="33" t="n">
        <v>0</v>
      </c>
      <c r="J21" s="33" t="n">
        <v>0</v>
      </c>
      <c r="K21" s="33" t="n">
        <f aca="false">Assumptions!C22</f>
        <v>4500</v>
      </c>
      <c r="L21" s="33" t="n">
        <v>0</v>
      </c>
      <c r="M21" s="33" t="n">
        <v>0</v>
      </c>
      <c r="N21" s="33" t="n">
        <v>0</v>
      </c>
      <c r="O21" s="33" t="n">
        <f aca="false">Assumptions!C22</f>
        <v>4500</v>
      </c>
      <c r="P21" s="34" t="n">
        <f aca="false">SUM(C21:O21)</f>
        <v>18000</v>
      </c>
    </row>
    <row r="22" customFormat="false" ht="19.5" hidden="false" customHeight="true" outlineLevel="0" collapsed="false">
      <c r="B22" s="19" t="s">
        <v>113</v>
      </c>
      <c r="C22" s="33" t="n">
        <f aca="false">Assumptions!C23</f>
        <v>3200</v>
      </c>
      <c r="D22" s="33" t="n">
        <v>0</v>
      </c>
      <c r="E22" s="33" t="n">
        <v>0</v>
      </c>
      <c r="F22" s="33" t="n">
        <v>0</v>
      </c>
      <c r="G22" s="33" t="n">
        <f aca="false">Assumptions!C23</f>
        <v>3200</v>
      </c>
      <c r="H22" s="33" t="n">
        <v>0</v>
      </c>
      <c r="I22" s="33" t="n">
        <v>0</v>
      </c>
      <c r="J22" s="33" t="n">
        <v>0</v>
      </c>
      <c r="K22" s="33" t="n">
        <f aca="false">Assumptions!C23</f>
        <v>3200</v>
      </c>
      <c r="L22" s="33" t="n">
        <v>0</v>
      </c>
      <c r="M22" s="33" t="n">
        <v>0</v>
      </c>
      <c r="N22" s="33" t="n">
        <v>0</v>
      </c>
      <c r="O22" s="33" t="n">
        <f aca="false">Assumptions!C23</f>
        <v>3200</v>
      </c>
      <c r="P22" s="34" t="n">
        <f aca="false">SUM(C22:O22)</f>
        <v>12800</v>
      </c>
    </row>
    <row r="23" customFormat="false" ht="19.5" hidden="false" customHeight="true" outlineLevel="0" collapsed="false">
      <c r="B23" s="19" t="s">
        <v>114</v>
      </c>
      <c r="C23" s="33" t="n">
        <f aca="false">Assumptions!C24</f>
        <v>8000</v>
      </c>
      <c r="D23" s="33" t="n">
        <f aca="false">Assumptions!C24</f>
        <v>8000</v>
      </c>
      <c r="E23" s="33" t="n">
        <f aca="false">Assumptions!C24</f>
        <v>8000</v>
      </c>
      <c r="F23" s="33" t="n">
        <f aca="false">Assumptions!C24</f>
        <v>8000</v>
      </c>
      <c r="G23" s="33" t="n">
        <f aca="false">Assumptions!C24</f>
        <v>8000</v>
      </c>
      <c r="H23" s="33" t="n">
        <f aca="false">Assumptions!C24</f>
        <v>8000</v>
      </c>
      <c r="I23" s="33" t="n">
        <f aca="false">Assumptions!C24</f>
        <v>8000</v>
      </c>
      <c r="J23" s="33" t="n">
        <f aca="false">Assumptions!C24</f>
        <v>8000</v>
      </c>
      <c r="K23" s="33" t="n">
        <f aca="false">Assumptions!C24</f>
        <v>8000</v>
      </c>
      <c r="L23" s="33" t="n">
        <f aca="false">Assumptions!C24</f>
        <v>8000</v>
      </c>
      <c r="M23" s="33" t="n">
        <f aca="false">Assumptions!C24</f>
        <v>8000</v>
      </c>
      <c r="N23" s="33" t="n">
        <f aca="false">Assumptions!C24</f>
        <v>8000</v>
      </c>
      <c r="O23" s="33" t="n">
        <f aca="false">Assumptions!C24</f>
        <v>8000</v>
      </c>
      <c r="P23" s="34" t="n">
        <f aca="false">SUM(C23:O23)</f>
        <v>104000</v>
      </c>
    </row>
    <row r="24" customFormat="false" ht="19.5" hidden="false" customHeight="true" outlineLevel="0" collapsed="false">
      <c r="B24" s="19" t="s">
        <v>115</v>
      </c>
      <c r="C24" s="33" t="n">
        <f aca="false">Assumptions!C25</f>
        <v>5000</v>
      </c>
      <c r="D24" s="33" t="n">
        <f aca="false">Assumptions!C25</f>
        <v>5000</v>
      </c>
      <c r="E24" s="33" t="n">
        <f aca="false">Assumptions!C25</f>
        <v>5000</v>
      </c>
      <c r="F24" s="33" t="n">
        <f aca="false">Assumptions!C25</f>
        <v>5000</v>
      </c>
      <c r="G24" s="33" t="n">
        <f aca="false">Assumptions!C25</f>
        <v>5000</v>
      </c>
      <c r="H24" s="33" t="n">
        <f aca="false">Assumptions!C25</f>
        <v>5000</v>
      </c>
      <c r="I24" s="33" t="n">
        <f aca="false">Assumptions!C25</f>
        <v>5000</v>
      </c>
      <c r="J24" s="33" t="n">
        <f aca="false">Assumptions!C25</f>
        <v>5000</v>
      </c>
      <c r="K24" s="33" t="n">
        <f aca="false">Assumptions!C25</f>
        <v>5000</v>
      </c>
      <c r="L24" s="33" t="n">
        <f aca="false">Assumptions!C25</f>
        <v>5000</v>
      </c>
      <c r="M24" s="33" t="n">
        <f aca="false">Assumptions!C25</f>
        <v>5000</v>
      </c>
      <c r="N24" s="33" t="n">
        <f aca="false">Assumptions!C25</f>
        <v>5000</v>
      </c>
      <c r="O24" s="33" t="n">
        <f aca="false">Assumptions!C25</f>
        <v>5000</v>
      </c>
      <c r="P24" s="34" t="n">
        <f aca="false">SUM(C24:O24)</f>
        <v>65000</v>
      </c>
    </row>
    <row r="25" customFormat="false" ht="19.5" hidden="false" customHeight="true" outlineLevel="0" collapsed="false">
      <c r="B25" s="19" t="s">
        <v>116</v>
      </c>
      <c r="C25" s="33" t="n">
        <f aca="false">Assumptions!C26</f>
        <v>3500</v>
      </c>
      <c r="D25" s="33" t="n">
        <f aca="false">Assumptions!C26</f>
        <v>3500</v>
      </c>
      <c r="E25" s="33" t="n">
        <f aca="false">Assumptions!C26</f>
        <v>3500</v>
      </c>
      <c r="F25" s="33" t="n">
        <f aca="false">Assumptions!C26</f>
        <v>3500</v>
      </c>
      <c r="G25" s="33" t="n">
        <f aca="false">Assumptions!C26</f>
        <v>3500</v>
      </c>
      <c r="H25" s="33" t="n">
        <f aca="false">Assumptions!C26</f>
        <v>3500</v>
      </c>
      <c r="I25" s="33" t="n">
        <f aca="false">Assumptions!C26</f>
        <v>3500</v>
      </c>
      <c r="J25" s="33" t="n">
        <f aca="false">Assumptions!C26</f>
        <v>3500</v>
      </c>
      <c r="K25" s="33" t="n">
        <f aca="false">Assumptions!C26</f>
        <v>3500</v>
      </c>
      <c r="L25" s="33" t="n">
        <f aca="false">Assumptions!C26</f>
        <v>3500</v>
      </c>
      <c r="M25" s="33" t="n">
        <f aca="false">Assumptions!C26</f>
        <v>3500</v>
      </c>
      <c r="N25" s="33" t="n">
        <f aca="false">Assumptions!C26</f>
        <v>3500</v>
      </c>
      <c r="O25" s="33" t="n">
        <f aca="false">Assumptions!C26</f>
        <v>3500</v>
      </c>
      <c r="P25" s="34" t="n">
        <f aca="false">SUM(C25:O25)</f>
        <v>45500</v>
      </c>
    </row>
    <row r="26" customFormat="false" ht="21.75" hidden="false" customHeight="true" outlineLevel="0" collapsed="false">
      <c r="B26" s="28" t="str">
        <f aca="false">"TOTAL OPERATING EXPENSES ("&amp;Assumptions!C3&amp;")"</f>
        <v>TOTAL OPERATING EXPENSES ($)</v>
      </c>
      <c r="C26" s="30" t="n">
        <f aca="false">C19+C20+C21+C22+C23+C24+C25</f>
        <v>42200</v>
      </c>
      <c r="D26" s="30" t="n">
        <f aca="false">D19+D20+D21+D22+D23+D24+D25</f>
        <v>200652.5</v>
      </c>
      <c r="E26" s="30" t="n">
        <f aca="false">E19+E20+E21+E22+E23+E24+E25</f>
        <v>16500</v>
      </c>
      <c r="F26" s="30" t="n">
        <f aca="false">F19+F20+F21+F22+F23+F24+F25</f>
        <v>200652.5</v>
      </c>
      <c r="G26" s="30" t="n">
        <f aca="false">G19+G20+G21+G22+G23+G24+G25</f>
        <v>42200</v>
      </c>
      <c r="H26" s="30" t="n">
        <f aca="false">H19+H20+H21+H22+H23+H24+H25</f>
        <v>200652.5</v>
      </c>
      <c r="I26" s="30" t="n">
        <f aca="false">I19+I20+I21+I22+I23+I24+I25</f>
        <v>16500</v>
      </c>
      <c r="J26" s="30" t="n">
        <f aca="false">J19+J20+J21+J22+J23+J24+J25</f>
        <v>200652.5</v>
      </c>
      <c r="K26" s="30" t="n">
        <f aca="false">K19+K20+K21+K22+K23+K24+K25</f>
        <v>42200</v>
      </c>
      <c r="L26" s="30" t="n">
        <f aca="false">L19+L20+L21+L22+L23+L24+L25</f>
        <v>200652.5</v>
      </c>
      <c r="M26" s="30" t="n">
        <f aca="false">M19+M20+M21+M22+M23+M24+M25</f>
        <v>16500</v>
      </c>
      <c r="N26" s="30" t="n">
        <f aca="false">N19+N20+N21+N22+N23+N24+N25</f>
        <v>200652.5</v>
      </c>
      <c r="O26" s="30" t="n">
        <f aca="false">O19+O20+O21+O22+O23+O24+O25</f>
        <v>42200</v>
      </c>
      <c r="P26" s="30" t="n">
        <f aca="false">P19+P20+P21+P22+P23+P24+P25</f>
        <v>1422215</v>
      </c>
    </row>
    <row r="28" customFormat="false" ht="21.75" hidden="false" customHeight="true" outlineLevel="0" collapsed="false">
      <c r="B28" s="31" t="str">
        <f aca="false">"▸  CAPITAL EXPENDITURES ("&amp;Assumptions!C3&amp;")"</f>
        <v>▸  CAPITAL EXPENDITURES ($)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customFormat="false" ht="19.5" hidden="false" customHeight="true" outlineLevel="0" collapsed="false">
      <c r="B29" s="19" t="s">
        <v>117</v>
      </c>
      <c r="C29" s="33" t="n">
        <f aca="false">IF(1=Assumptions!C30,Assumptions!C29,0)</f>
        <v>0</v>
      </c>
      <c r="D29" s="33" t="n">
        <f aca="false">IF(2=Assumptions!C30,Assumptions!C29,0)</f>
        <v>0</v>
      </c>
      <c r="E29" s="33" t="n">
        <f aca="false">IF(3=Assumptions!C30,Assumptions!C29,0)</f>
        <v>0</v>
      </c>
      <c r="F29" s="33" t="n">
        <f aca="false">IF(4=Assumptions!C30,Assumptions!C29,0)</f>
        <v>0</v>
      </c>
      <c r="G29" s="33" t="n">
        <f aca="false">IF(5=Assumptions!C30,Assumptions!C29,0)</f>
        <v>0</v>
      </c>
      <c r="H29" s="33" t="n">
        <f aca="false">IF(6=Assumptions!C30,Assumptions!C29,0)</f>
        <v>0</v>
      </c>
      <c r="I29" s="33" t="n">
        <f aca="false">IF(7=Assumptions!C30,Assumptions!C29,0)</f>
        <v>0</v>
      </c>
      <c r="J29" s="33" t="n">
        <f aca="false">IF(8=Assumptions!C30,Assumptions!C29,0)</f>
        <v>0</v>
      </c>
      <c r="K29" s="33" t="n">
        <f aca="false">IF(9=Assumptions!C30,Assumptions!C29,0)</f>
        <v>0</v>
      </c>
      <c r="L29" s="33" t="n">
        <f aca="false">IF(10=Assumptions!C30,Assumptions!C29,0)</f>
        <v>0</v>
      </c>
      <c r="M29" s="33" t="n">
        <f aca="false">IF(11=Assumptions!C30,Assumptions!C29,0)</f>
        <v>0</v>
      </c>
      <c r="N29" s="33" t="n">
        <f aca="false">IF(12=Assumptions!C30,Assumptions!C29,0)</f>
        <v>0</v>
      </c>
      <c r="O29" s="33" t="n">
        <f aca="false">IF(13=Assumptions!C30,Assumptions!C29,0)</f>
        <v>0</v>
      </c>
      <c r="P29" s="34" t="n">
        <f aca="false">SUM(C29:O29)</f>
        <v>0</v>
      </c>
    </row>
    <row r="30" customFormat="false" ht="21.75" hidden="false" customHeight="true" outlineLevel="0" collapsed="false">
      <c r="B30" s="28" t="str">
        <f aca="false">"TOTAL CAPEX ("&amp;Assumptions!C3&amp;")"</f>
        <v>TOTAL CAPEX ($)</v>
      </c>
      <c r="C30" s="30" t="n">
        <f aca="false">C29</f>
        <v>0</v>
      </c>
      <c r="D30" s="30" t="n">
        <f aca="false">D29</f>
        <v>0</v>
      </c>
      <c r="E30" s="30" t="n">
        <f aca="false">E29</f>
        <v>0</v>
      </c>
      <c r="F30" s="30" t="n">
        <f aca="false">F29</f>
        <v>0</v>
      </c>
      <c r="G30" s="30" t="n">
        <f aca="false">G29</f>
        <v>0</v>
      </c>
      <c r="H30" s="30" t="n">
        <f aca="false">H29</f>
        <v>0</v>
      </c>
      <c r="I30" s="30" t="n">
        <f aca="false">I29</f>
        <v>0</v>
      </c>
      <c r="J30" s="30" t="n">
        <f aca="false">J29</f>
        <v>0</v>
      </c>
      <c r="K30" s="30" t="n">
        <f aca="false">K29</f>
        <v>0</v>
      </c>
      <c r="L30" s="30" t="n">
        <f aca="false">L29</f>
        <v>0</v>
      </c>
      <c r="M30" s="30" t="n">
        <f aca="false">M29</f>
        <v>0</v>
      </c>
      <c r="N30" s="30" t="n">
        <f aca="false">N29</f>
        <v>0</v>
      </c>
      <c r="O30" s="30" t="n">
        <f aca="false">O29</f>
        <v>0</v>
      </c>
      <c r="P30" s="30" t="n">
        <f aca="false">P29</f>
        <v>0</v>
      </c>
    </row>
    <row r="32" customFormat="false" ht="24" hidden="false" customHeight="true" outlineLevel="0" collapsed="false">
      <c r="B32" s="31" t="str">
        <f aca="false">"TOTAL CASH OUTFLOWS ("&amp;Assumptions!C3&amp;")"</f>
        <v>TOTAL CASH OUTFLOWS ($)</v>
      </c>
      <c r="C32" s="35" t="n">
        <f aca="false">C16+C26+C30</f>
        <v>42200</v>
      </c>
      <c r="D32" s="35" t="n">
        <f aca="false">D16+D26+D30</f>
        <v>475652.5</v>
      </c>
      <c r="E32" s="35" t="n">
        <f aca="false">E16+E26+E30</f>
        <v>292875</v>
      </c>
      <c r="F32" s="35" t="n">
        <f aca="false">F16+F26+F30</f>
        <v>478409.375</v>
      </c>
      <c r="G32" s="35" t="n">
        <f aca="false">G16+G26+G30</f>
        <v>321345.659375</v>
      </c>
      <c r="H32" s="35" t="n">
        <f aca="false">H16+H26+H30</f>
        <v>481193.887671875</v>
      </c>
      <c r="I32" s="35" t="n">
        <f aca="false">I16+I26+I30</f>
        <v>298444.094610234</v>
      </c>
      <c r="J32" s="35" t="n">
        <f aca="false">J16+J26+J30</f>
        <v>484006.315083285</v>
      </c>
      <c r="K32" s="35" t="n">
        <f aca="false">K16+K26+K30</f>
        <v>326970.584158702</v>
      </c>
      <c r="L32" s="35" t="n">
        <f aca="false">L16+L26+L30</f>
        <v>486846.937079495</v>
      </c>
      <c r="M32" s="35" t="n">
        <f aca="false">M16+M26+M30</f>
        <v>304125.409264893</v>
      </c>
      <c r="N32" s="35" t="n">
        <f aca="false">N16+N26+N30</f>
        <v>489716.036311217</v>
      </c>
      <c r="O32" s="35" t="n">
        <f aca="false">O16+O26+O30</f>
        <v>332708.853992773</v>
      </c>
      <c r="P32" s="35" t="n">
        <f aca="false">P16+P26+P30</f>
        <v>4814494.65254748</v>
      </c>
    </row>
    <row r="34" customFormat="false" ht="27.75" hidden="false" customHeight="true" outlineLevel="0" collapsed="false">
      <c r="B34" s="10" t="str">
        <f aca="false">"NET OPERATING CASH FLOW ("&amp;Assumptions!C3&amp;")"</f>
        <v>NET OPERATING CASH FLOW ($)</v>
      </c>
      <c r="C34" s="36" t="n">
        <f aca="false">C12-C32</f>
        <v>57800</v>
      </c>
      <c r="D34" s="36" t="n">
        <f aca="false">D12-D32</f>
        <v>-375152.5</v>
      </c>
      <c r="E34" s="36" t="n">
        <f aca="false">E12-E32</f>
        <v>208127.5</v>
      </c>
      <c r="F34" s="36" t="n">
        <f aca="false">F12-F32</f>
        <v>25098.1375</v>
      </c>
      <c r="G34" s="36" t="n">
        <f aca="false">G12-G32</f>
        <v>184679.3906875</v>
      </c>
      <c r="H34" s="36" t="n">
        <f aca="false">H12-H32</f>
        <v>27361.2876409374</v>
      </c>
      <c r="I34" s="36" t="n">
        <f aca="false">I12-I32</f>
        <v>212653.856579142</v>
      </c>
      <c r="J34" s="36" t="n">
        <f aca="false">J12-J32</f>
        <v>29647.1258620378</v>
      </c>
      <c r="K34" s="36" t="n">
        <f aca="false">K12-K32</f>
        <v>189251.123991348</v>
      </c>
      <c r="L34" s="36" t="n">
        <f aca="false">L12-L32</f>
        <v>31955.8796113047</v>
      </c>
      <c r="M34" s="36" t="n">
        <f aca="false">M12-M32</f>
        <v>217271.421509361</v>
      </c>
      <c r="N34" s="36" t="n">
        <f aca="false">N12-N32</f>
        <v>34287.7786169079</v>
      </c>
      <c r="O34" s="36" t="n">
        <f aca="false">O12-O32</f>
        <v>193914.980009993</v>
      </c>
      <c r="P34" s="36" t="n">
        <f aca="false">P12-P32</f>
        <v>1036895.98200853</v>
      </c>
    </row>
    <row r="36" customFormat="false" ht="21.75" hidden="false" customHeight="true" outlineLevel="0" collapsed="false">
      <c r="B36" s="31" t="str">
        <f aca="false">"▸  FINANCING ACTIVITIES ("&amp;Assumptions!C3&amp;")"</f>
        <v>▸  FINANCING ACTIVITIES ($)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customFormat="false" ht="19.5" hidden="false" customHeight="true" outlineLevel="0" collapsed="false">
      <c r="B37" s="19" t="s">
        <v>118</v>
      </c>
      <c r="C37" s="20" t="n">
        <v>0</v>
      </c>
      <c r="D37" s="20" t="n">
        <v>0</v>
      </c>
      <c r="E37" s="20" t="n">
        <v>0</v>
      </c>
      <c r="F37" s="20" t="n">
        <v>0</v>
      </c>
      <c r="G37" s="20" t="n">
        <v>0</v>
      </c>
      <c r="H37" s="20" t="n">
        <v>0</v>
      </c>
      <c r="I37" s="20" t="n">
        <v>0</v>
      </c>
      <c r="J37" s="20" t="n">
        <v>0</v>
      </c>
      <c r="K37" s="20" t="n">
        <v>0</v>
      </c>
      <c r="L37" s="20" t="n">
        <v>0</v>
      </c>
      <c r="M37" s="20" t="n">
        <v>0</v>
      </c>
      <c r="N37" s="20" t="n">
        <v>0</v>
      </c>
      <c r="O37" s="20" t="n">
        <v>0</v>
      </c>
      <c r="P37" s="34" t="n">
        <f aca="false">SUM(C37:O37)</f>
        <v>0</v>
      </c>
    </row>
    <row r="38" customFormat="false" ht="19.5" hidden="false" customHeight="true" outlineLevel="0" collapsed="false">
      <c r="B38" s="19" t="s">
        <v>119</v>
      </c>
      <c r="C38" s="20" t="n">
        <v>0</v>
      </c>
      <c r="D38" s="20" t="n">
        <v>0</v>
      </c>
      <c r="E38" s="20" t="n">
        <v>0</v>
      </c>
      <c r="F38" s="20" t="n">
        <v>0</v>
      </c>
      <c r="G38" s="20" t="n">
        <v>0</v>
      </c>
      <c r="H38" s="20" t="n">
        <v>0</v>
      </c>
      <c r="I38" s="20" t="n">
        <v>0</v>
      </c>
      <c r="J38" s="20" t="n">
        <v>0</v>
      </c>
      <c r="K38" s="20" t="n">
        <v>0</v>
      </c>
      <c r="L38" s="20" t="n">
        <v>0</v>
      </c>
      <c r="M38" s="20" t="n">
        <v>0</v>
      </c>
      <c r="N38" s="20" t="n">
        <v>0</v>
      </c>
      <c r="O38" s="20" t="n">
        <v>0</v>
      </c>
      <c r="P38" s="34" t="n">
        <f aca="false">SUM(C38:O38)</f>
        <v>0</v>
      </c>
    </row>
    <row r="39" customFormat="false" ht="19.5" hidden="false" customHeight="true" outlineLevel="0" collapsed="false">
      <c r="B39" s="19" t="s">
        <v>120</v>
      </c>
      <c r="C39" s="33" t="n">
        <f aca="false">-Assumptions!C36</f>
        <v>-0</v>
      </c>
      <c r="D39" s="33" t="n">
        <f aca="false">-Assumptions!C36</f>
        <v>-0</v>
      </c>
      <c r="E39" s="33" t="n">
        <f aca="false">-Assumptions!C36</f>
        <v>-0</v>
      </c>
      <c r="F39" s="33" t="n">
        <f aca="false">-Assumptions!C36</f>
        <v>-0</v>
      </c>
      <c r="G39" s="33" t="n">
        <f aca="false">-Assumptions!C36</f>
        <v>-0</v>
      </c>
      <c r="H39" s="33" t="n">
        <f aca="false">-Assumptions!C36</f>
        <v>-0</v>
      </c>
      <c r="I39" s="33" t="n">
        <f aca="false">-Assumptions!C36</f>
        <v>-0</v>
      </c>
      <c r="J39" s="33" t="n">
        <f aca="false">-Assumptions!C36</f>
        <v>-0</v>
      </c>
      <c r="K39" s="33" t="n">
        <f aca="false">-Assumptions!C36</f>
        <v>-0</v>
      </c>
      <c r="L39" s="33" t="n">
        <f aca="false">-Assumptions!C36</f>
        <v>-0</v>
      </c>
      <c r="M39" s="33" t="n">
        <f aca="false">-Assumptions!C36</f>
        <v>-0</v>
      </c>
      <c r="N39" s="33" t="n">
        <f aca="false">-Assumptions!C36</f>
        <v>-0</v>
      </c>
      <c r="O39" s="33" t="n">
        <f aca="false">-Assumptions!C36</f>
        <v>-0</v>
      </c>
      <c r="P39" s="34" t="n">
        <f aca="false">SUM(C39:O39)</f>
        <v>0</v>
      </c>
    </row>
    <row r="40" customFormat="false" ht="19.5" hidden="false" customHeight="true" outlineLevel="0" collapsed="false">
      <c r="B40" s="19" t="s">
        <v>121</v>
      </c>
      <c r="C40" s="33" t="n">
        <f aca="false">-Assumptions!C34*Assumptions!C35/52</f>
        <v>-0</v>
      </c>
      <c r="D40" s="33" t="n">
        <f aca="false">-(Assumptions!C34+SUM(C37:C37)-SUM(C38:C38))*Assumptions!C35/52</f>
        <v>-0</v>
      </c>
      <c r="E40" s="33" t="n">
        <f aca="false">-(Assumptions!C34+SUM(C37:D37)-SUM(C38:D38))*Assumptions!C35/52</f>
        <v>-0</v>
      </c>
      <c r="F40" s="33" t="n">
        <f aca="false">-(Assumptions!C34+SUM(C37:E37)-SUM(C38:E38))*Assumptions!C35/52</f>
        <v>-0</v>
      </c>
      <c r="G40" s="33" t="n">
        <f aca="false">-(Assumptions!C34+SUM(C37:F37)-SUM(C38:F38))*Assumptions!C35/52</f>
        <v>-0</v>
      </c>
      <c r="H40" s="33" t="n">
        <f aca="false">-(Assumptions!C34+SUM(C37:G37)-SUM(C38:G38))*Assumptions!C35/52</f>
        <v>-0</v>
      </c>
      <c r="I40" s="33" t="n">
        <f aca="false">-(Assumptions!C34+SUM(C37:H37)-SUM(C38:H38))*Assumptions!C35/52</f>
        <v>-0</v>
      </c>
      <c r="J40" s="33" t="n">
        <f aca="false">-(Assumptions!C34+SUM(C37:I37)-SUM(C38:I38))*Assumptions!C35/52</f>
        <v>-0</v>
      </c>
      <c r="K40" s="33" t="n">
        <f aca="false">-(Assumptions!C34+SUM(C37:J37)-SUM(C38:J38))*Assumptions!C35/52</f>
        <v>-0</v>
      </c>
      <c r="L40" s="33" t="n">
        <f aca="false">-(Assumptions!C34+SUM(C37:K37)-SUM(C38:K38))*Assumptions!C35/52</f>
        <v>-0</v>
      </c>
      <c r="M40" s="33" t="n">
        <f aca="false">-(Assumptions!C34+SUM(C37:L37)-SUM(C38:L38))*Assumptions!C35/52</f>
        <v>-0</v>
      </c>
      <c r="N40" s="33" t="n">
        <f aca="false">-(Assumptions!C34+SUM(C37:M37)-SUM(C38:M38))*Assumptions!C35/52</f>
        <v>-0</v>
      </c>
      <c r="O40" s="33" t="n">
        <f aca="false">-(Assumptions!C34+SUM(C37:N37)-SUM(C38:N38))*Assumptions!C35/52</f>
        <v>-0</v>
      </c>
      <c r="P40" s="34" t="n">
        <f aca="false">SUM(C40:O40)</f>
        <v>0</v>
      </c>
    </row>
    <row r="41" customFormat="false" ht="19.5" hidden="false" customHeight="true" outlineLevel="0" collapsed="false">
      <c r="B41" s="19" t="s">
        <v>122</v>
      </c>
      <c r="C41" s="33" t="n">
        <f aca="false">-Assumptions!C37</f>
        <v>-0</v>
      </c>
      <c r="D41" s="33" t="n">
        <f aca="false">-Assumptions!C37</f>
        <v>-0</v>
      </c>
      <c r="E41" s="33" t="n">
        <f aca="false">-Assumptions!C37</f>
        <v>-0</v>
      </c>
      <c r="F41" s="33" t="n">
        <f aca="false">-Assumptions!C37</f>
        <v>-0</v>
      </c>
      <c r="G41" s="33" t="n">
        <f aca="false">-Assumptions!C37</f>
        <v>-0</v>
      </c>
      <c r="H41" s="33" t="n">
        <f aca="false">-Assumptions!C37</f>
        <v>-0</v>
      </c>
      <c r="I41" s="33" t="n">
        <f aca="false">-Assumptions!C37</f>
        <v>-0</v>
      </c>
      <c r="J41" s="33" t="n">
        <f aca="false">-Assumptions!C37</f>
        <v>-0</v>
      </c>
      <c r="K41" s="33" t="n">
        <f aca="false">-Assumptions!C37</f>
        <v>-0</v>
      </c>
      <c r="L41" s="33" t="n">
        <f aca="false">-Assumptions!C37</f>
        <v>-0</v>
      </c>
      <c r="M41" s="33" t="n">
        <f aca="false">-Assumptions!C37</f>
        <v>-0</v>
      </c>
      <c r="N41" s="33" t="n">
        <f aca="false">-Assumptions!C37</f>
        <v>-0</v>
      </c>
      <c r="O41" s="33" t="n">
        <f aca="false">-Assumptions!C37</f>
        <v>-0</v>
      </c>
      <c r="P41" s="34" t="n">
        <f aca="false">SUM(C41:O41)</f>
        <v>0</v>
      </c>
    </row>
    <row r="42" customFormat="false" ht="21.75" hidden="false" customHeight="true" outlineLevel="0" collapsed="false">
      <c r="B42" s="28" t="str">
        <f aca="false">"TOTAL FINANCING ("&amp;Assumptions!C3&amp;")"</f>
        <v>TOTAL FINANCING ($)</v>
      </c>
      <c r="C42" s="30" t="n">
        <f aca="false">C37+C38+C39+C40+C41</f>
        <v>0</v>
      </c>
      <c r="D42" s="30" t="n">
        <f aca="false">D37+D38+D39+D40+D41</f>
        <v>0</v>
      </c>
      <c r="E42" s="30" t="n">
        <f aca="false">E37+E38+E39+E40+E41</f>
        <v>0</v>
      </c>
      <c r="F42" s="30" t="n">
        <f aca="false">F37+F38+F39+F40+F41</f>
        <v>0</v>
      </c>
      <c r="G42" s="30" t="n">
        <f aca="false">G37+G38+G39+G40+G41</f>
        <v>0</v>
      </c>
      <c r="H42" s="30" t="n">
        <f aca="false">H37+H38+H39+H40+H41</f>
        <v>0</v>
      </c>
      <c r="I42" s="30" t="n">
        <f aca="false">I37+I38+I39+I40+I41</f>
        <v>0</v>
      </c>
      <c r="J42" s="30" t="n">
        <f aca="false">J37+J38+J39+J40+J41</f>
        <v>0</v>
      </c>
      <c r="K42" s="30" t="n">
        <f aca="false">K37+K38+K39+K40+K41</f>
        <v>0</v>
      </c>
      <c r="L42" s="30" t="n">
        <f aca="false">L37+L38+L39+L40+L41</f>
        <v>0</v>
      </c>
      <c r="M42" s="30" t="n">
        <f aca="false">M37+M38+M39+M40+M41</f>
        <v>0</v>
      </c>
      <c r="N42" s="30" t="n">
        <f aca="false">N37+N38+N39+N40+N41</f>
        <v>0</v>
      </c>
      <c r="O42" s="30" t="n">
        <f aca="false">O37+O38+O39+O40+O41</f>
        <v>0</v>
      </c>
      <c r="P42" s="30" t="n">
        <f aca="false">P37+P38+P39+P40+P41</f>
        <v>0</v>
      </c>
    </row>
    <row r="44" customFormat="false" ht="21.75" hidden="false" customHeight="true" outlineLevel="0" collapsed="false">
      <c r="B44" s="31" t="str">
        <f aca="false">"▸  TAXES ("&amp;Assumptions!C3&amp;")"</f>
        <v>▸  TAXES ($)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customFormat="false" ht="19.5" hidden="false" customHeight="true" outlineLevel="0" collapsed="false">
      <c r="B45" s="19" t="s">
        <v>123</v>
      </c>
      <c r="C45" s="33" t="n">
        <f aca="false">IF(1=Assumptions!C41,-Assumptions!C40,0)</f>
        <v>-0</v>
      </c>
      <c r="D45" s="33" t="n">
        <f aca="false">IF(2=Assumptions!C41,-Assumptions!C40,0)</f>
        <v>0</v>
      </c>
      <c r="E45" s="33" t="n">
        <f aca="false">IF(3=Assumptions!C41,-Assumptions!C40,0)</f>
        <v>0</v>
      </c>
      <c r="F45" s="33" t="n">
        <f aca="false">IF(4=Assumptions!C41,-Assumptions!C40,0)</f>
        <v>0</v>
      </c>
      <c r="G45" s="33" t="n">
        <f aca="false">IF(5=Assumptions!C41,-Assumptions!C40,0)</f>
        <v>0</v>
      </c>
      <c r="H45" s="33" t="n">
        <f aca="false">IF(6=Assumptions!C41,-Assumptions!C40,0)</f>
        <v>0</v>
      </c>
      <c r="I45" s="33" t="n">
        <f aca="false">IF(7=Assumptions!C41,-Assumptions!C40,0)</f>
        <v>0</v>
      </c>
      <c r="J45" s="33" t="n">
        <f aca="false">IF(8=Assumptions!C41,-Assumptions!C40,0)</f>
        <v>0</v>
      </c>
      <c r="K45" s="33" t="n">
        <f aca="false">IF(9=Assumptions!C41,-Assumptions!C40,0)</f>
        <v>0</v>
      </c>
      <c r="L45" s="33" t="n">
        <f aca="false">IF(10=Assumptions!C41,-Assumptions!C40,0)</f>
        <v>0</v>
      </c>
      <c r="M45" s="33" t="n">
        <f aca="false">IF(11=Assumptions!C41,-Assumptions!C40,0)</f>
        <v>0</v>
      </c>
      <c r="N45" s="33" t="n">
        <f aca="false">IF(12=Assumptions!C41,-Assumptions!C40,0)</f>
        <v>0</v>
      </c>
      <c r="O45" s="33" t="n">
        <f aca="false">IF(13=Assumptions!C41,-Assumptions!C40,0)</f>
        <v>0</v>
      </c>
      <c r="P45" s="34" t="n">
        <f aca="false">SUM(C45:O45)</f>
        <v>0</v>
      </c>
    </row>
    <row r="47" customFormat="false" ht="21.75" hidden="false" customHeight="true" outlineLevel="0" collapsed="false">
      <c r="B47" s="37" t="str">
        <f aca="false">"NET CHANGE IN CASH ("&amp;Assumptions!C3&amp;")"</f>
        <v>NET CHANGE IN CASH ($)</v>
      </c>
      <c r="C47" s="34" t="n">
        <f aca="false">C34+C42+C45</f>
        <v>57800</v>
      </c>
      <c r="D47" s="34" t="n">
        <f aca="false">D34+D42+D45</f>
        <v>-375152.5</v>
      </c>
      <c r="E47" s="34" t="n">
        <f aca="false">E34+E42+E45</f>
        <v>208127.5</v>
      </c>
      <c r="F47" s="34" t="n">
        <f aca="false">F34+F42+F45</f>
        <v>25098.1375</v>
      </c>
      <c r="G47" s="34" t="n">
        <f aca="false">G34+G42+G45</f>
        <v>184679.3906875</v>
      </c>
      <c r="H47" s="34" t="n">
        <f aca="false">H34+H42+H45</f>
        <v>27361.2876409374</v>
      </c>
      <c r="I47" s="34" t="n">
        <f aca="false">I34+I42+I45</f>
        <v>212653.856579142</v>
      </c>
      <c r="J47" s="34" t="n">
        <f aca="false">J34+J42+J45</f>
        <v>29647.1258620378</v>
      </c>
      <c r="K47" s="34" t="n">
        <f aca="false">K34+K42+K45</f>
        <v>189251.123991348</v>
      </c>
      <c r="L47" s="34" t="n">
        <f aca="false">L34+L42+L45</f>
        <v>31955.8796113047</v>
      </c>
      <c r="M47" s="34" t="n">
        <f aca="false">M34+M42+M45</f>
        <v>217271.421509361</v>
      </c>
      <c r="N47" s="34" t="n">
        <f aca="false">N34+N42+N45</f>
        <v>34287.7786169079</v>
      </c>
      <c r="O47" s="34" t="n">
        <f aca="false">O34+O42+O45</f>
        <v>193914.980009993</v>
      </c>
      <c r="P47" s="34" t="n">
        <f aca="false">P34+P42+P45</f>
        <v>1036895.98200853</v>
      </c>
    </row>
    <row r="48" customFormat="false" ht="30" hidden="false" customHeight="true" outlineLevel="0" collapsed="false">
      <c r="B48" s="38" t="str">
        <f aca="false">"CLOSING CASH BALANCE ("&amp;Assumptions!C3&amp;")"</f>
        <v>CLOSING CASH BALANCE ($)</v>
      </c>
      <c r="C48" s="39" t="n">
        <f aca="false">C6+C47</f>
        <v>307800</v>
      </c>
      <c r="D48" s="39" t="n">
        <f aca="false">D6+D47</f>
        <v>-67352.5</v>
      </c>
      <c r="E48" s="39" t="n">
        <f aca="false">E6+E47</f>
        <v>140775</v>
      </c>
      <c r="F48" s="39" t="n">
        <f aca="false">F6+F47</f>
        <v>165873.1375</v>
      </c>
      <c r="G48" s="39" t="n">
        <f aca="false">G6+G47</f>
        <v>350552.5281875</v>
      </c>
      <c r="H48" s="39" t="n">
        <f aca="false">H6+H47</f>
        <v>377913.815828437</v>
      </c>
      <c r="I48" s="39" t="n">
        <f aca="false">I6+I47</f>
        <v>590567.672407579</v>
      </c>
      <c r="J48" s="39" t="n">
        <f aca="false">J6+J47</f>
        <v>620214.798269617</v>
      </c>
      <c r="K48" s="39" t="n">
        <f aca="false">K6+K47</f>
        <v>809465.922260965</v>
      </c>
      <c r="L48" s="39" t="n">
        <f aca="false">L6+L47</f>
        <v>841421.80187227</v>
      </c>
      <c r="M48" s="39" t="n">
        <f aca="false">M6+M47</f>
        <v>1058693.22338163</v>
      </c>
      <c r="N48" s="39" t="n">
        <f aca="false">N6+N47</f>
        <v>1092981.00199854</v>
      </c>
      <c r="O48" s="39" t="n">
        <f aca="false">O6+O47</f>
        <v>1286895.98200853</v>
      </c>
      <c r="P48" s="39" t="n">
        <f aca="false">O48</f>
        <v>1286895.98200853</v>
      </c>
    </row>
    <row r="49" customFormat="false" ht="19.5" hidden="false" customHeight="true" outlineLevel="0" collapsed="false">
      <c r="B49" s="40" t="str">
        <f aca="false">"    Minimum Cash Target ("&amp;Assumptions!C3&amp;") (from Assumptions)"</f>
        <v>    Minimum Cash Target ($) (from Assumptions)</v>
      </c>
      <c r="C49" s="41" t="n">
        <f aca="false">Assumptions!C44</f>
        <v>150000</v>
      </c>
      <c r="D49" s="41" t="n">
        <f aca="false">Assumptions!C44</f>
        <v>150000</v>
      </c>
      <c r="E49" s="41" t="n">
        <f aca="false">Assumptions!C44</f>
        <v>150000</v>
      </c>
      <c r="F49" s="41" t="n">
        <f aca="false">Assumptions!C44</f>
        <v>150000</v>
      </c>
      <c r="G49" s="41" t="n">
        <f aca="false">Assumptions!C44</f>
        <v>150000</v>
      </c>
      <c r="H49" s="41" t="n">
        <f aca="false">Assumptions!C44</f>
        <v>150000</v>
      </c>
      <c r="I49" s="41" t="n">
        <f aca="false">Assumptions!C44</f>
        <v>150000</v>
      </c>
      <c r="J49" s="41" t="n">
        <f aca="false">Assumptions!C44</f>
        <v>150000</v>
      </c>
      <c r="K49" s="41" t="n">
        <f aca="false">Assumptions!C44</f>
        <v>150000</v>
      </c>
      <c r="L49" s="41" t="n">
        <f aca="false">Assumptions!C44</f>
        <v>150000</v>
      </c>
      <c r="M49" s="41" t="n">
        <f aca="false">Assumptions!C44</f>
        <v>150000</v>
      </c>
      <c r="N49" s="41" t="n">
        <f aca="false">Assumptions!C44</f>
        <v>150000</v>
      </c>
      <c r="O49" s="41" t="n">
        <f aca="false">Assumptions!C44</f>
        <v>150000</v>
      </c>
      <c r="P49" s="41" t="n">
        <f aca="false">Assumptions!C44</f>
        <v>150000</v>
      </c>
    </row>
    <row r="50" customFormat="false" ht="21.75" hidden="false" customHeight="true" outlineLevel="0" collapsed="false">
      <c r="B50" s="37" t="str">
        <f aca="false">"Cash Surplus / (Deficit) vs. Minimum ("&amp;Assumptions!C3&amp;")"</f>
        <v>Cash Surplus / (Deficit) vs. Minimum ($)</v>
      </c>
      <c r="C50" s="34" t="n">
        <f aca="false">C48-C49</f>
        <v>157800</v>
      </c>
      <c r="D50" s="34" t="n">
        <f aca="false">D48-D49</f>
        <v>-217352.5</v>
      </c>
      <c r="E50" s="34" t="n">
        <f aca="false">E48-E49</f>
        <v>-9225</v>
      </c>
      <c r="F50" s="34" t="n">
        <f aca="false">F48-F49</f>
        <v>15873.1375</v>
      </c>
      <c r="G50" s="34" t="n">
        <f aca="false">G48-G49</f>
        <v>200552.5281875</v>
      </c>
      <c r="H50" s="34" t="n">
        <f aca="false">H48-H49</f>
        <v>227913.815828437</v>
      </c>
      <c r="I50" s="34" t="n">
        <f aca="false">I48-I49</f>
        <v>440567.672407579</v>
      </c>
      <c r="J50" s="34" t="n">
        <f aca="false">J48-J49</f>
        <v>470214.798269617</v>
      </c>
      <c r="K50" s="34" t="n">
        <f aca="false">K48-K49</f>
        <v>659465.922260965</v>
      </c>
      <c r="L50" s="34" t="n">
        <f aca="false">L48-L49</f>
        <v>691421.80187227</v>
      </c>
      <c r="M50" s="34" t="n">
        <f aca="false">M48-M49</f>
        <v>908693.223381631</v>
      </c>
      <c r="N50" s="34" t="n">
        <f aca="false">N48-N49</f>
        <v>942981.001998539</v>
      </c>
      <c r="O50" s="34" t="n">
        <f aca="false">O48-O49</f>
        <v>1136895.98200853</v>
      </c>
      <c r="P50" s="34" t="n">
        <f aca="false">O50</f>
        <v>1136895.98200853</v>
      </c>
    </row>
  </sheetData>
  <sheetProtection sheet="true" password="ce4b"/>
  <mergeCells count="2">
    <mergeCell ref="B1:P1"/>
    <mergeCell ref="B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40"/>
    <col collapsed="false" customWidth="true" hidden="false" outlineLevel="0" max="16" min="3" style="1" width="13"/>
  </cols>
  <sheetData>
    <row r="1" customFormat="false" ht="33.75" hidden="false" customHeight="true" outlineLevel="0" collapsed="false">
      <c r="B1" s="9" t="str">
        <f aca="false">"13-Week Cash Bridge ("&amp;Assumptions!C2&amp;")"</f>
        <v>13-Week Cash Bridge (USD ($))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customFormat="false" ht="15" hidden="false" customHeight="true" outlineLevel="0" collapsed="false">
      <c r="B2" s="3" t="s">
        <v>124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18" hidden="false" customHeight="true" outlineLevel="0" collapsed="false">
      <c r="B3" s="25" t="s">
        <v>125</v>
      </c>
      <c r="C3" s="26" t="n">
        <f aca="false">Forecast!C5</f>
        <v>45669</v>
      </c>
      <c r="D3" s="26" t="n">
        <f aca="false">Forecast!D5</f>
        <v>45676</v>
      </c>
      <c r="E3" s="26" t="n">
        <f aca="false">Forecast!E5</f>
        <v>45683</v>
      </c>
      <c r="F3" s="26" t="n">
        <f aca="false">Forecast!F5</f>
        <v>45690</v>
      </c>
      <c r="G3" s="26" t="n">
        <f aca="false">Forecast!G5</f>
        <v>45697</v>
      </c>
      <c r="H3" s="26" t="n">
        <f aca="false">Forecast!H5</f>
        <v>45704</v>
      </c>
      <c r="I3" s="26" t="n">
        <f aca="false">Forecast!I5</f>
        <v>45711</v>
      </c>
      <c r="J3" s="26" t="n">
        <f aca="false">Forecast!J5</f>
        <v>45718</v>
      </c>
      <c r="K3" s="26" t="n">
        <f aca="false">Forecast!K5</f>
        <v>45725</v>
      </c>
      <c r="L3" s="26" t="n">
        <f aca="false">Forecast!L5</f>
        <v>45732</v>
      </c>
      <c r="M3" s="26" t="n">
        <f aca="false">Forecast!M5</f>
        <v>45739</v>
      </c>
      <c r="N3" s="26" t="n">
        <f aca="false">Forecast!N5</f>
        <v>45746</v>
      </c>
      <c r="O3" s="26" t="n">
        <f aca="false">Forecast!O5</f>
        <v>45753</v>
      </c>
      <c r="P3" s="27" t="s">
        <v>105</v>
      </c>
    </row>
    <row r="4" customFormat="false" ht="21.75" hidden="false" customHeight="true" outlineLevel="0" collapsed="false">
      <c r="B4" s="23" t="s">
        <v>126</v>
      </c>
      <c r="C4" s="24" t="s">
        <v>90</v>
      </c>
      <c r="D4" s="24" t="s">
        <v>91</v>
      </c>
      <c r="E4" s="24" t="s">
        <v>92</v>
      </c>
      <c r="F4" s="24" t="s">
        <v>93</v>
      </c>
      <c r="G4" s="24" t="s">
        <v>94</v>
      </c>
      <c r="H4" s="24" t="s">
        <v>95</v>
      </c>
      <c r="I4" s="24" t="s">
        <v>96</v>
      </c>
      <c r="J4" s="24" t="s">
        <v>97</v>
      </c>
      <c r="K4" s="24" t="s">
        <v>98</v>
      </c>
      <c r="L4" s="24" t="s">
        <v>99</v>
      </c>
      <c r="M4" s="24" t="s">
        <v>100</v>
      </c>
      <c r="N4" s="24" t="s">
        <v>101</v>
      </c>
      <c r="O4" s="24" t="s">
        <v>102</v>
      </c>
      <c r="P4" s="24" t="s">
        <v>103</v>
      </c>
    </row>
    <row r="5" customFormat="false" ht="21.75" hidden="false" customHeight="true" outlineLevel="0" collapsed="false">
      <c r="B5" s="42" t="str">
        <f aca="false">"Opening Cash ("&amp;Assumptions!C3&amp;")"</f>
        <v>Opening Cash ($)</v>
      </c>
      <c r="C5" s="43" t="n">
        <f aca="false">Forecast!C6</f>
        <v>250000</v>
      </c>
      <c r="D5" s="43" t="n">
        <f aca="false">Forecast!D6</f>
        <v>307800</v>
      </c>
      <c r="E5" s="43" t="n">
        <f aca="false">Forecast!E6</f>
        <v>-67352.5</v>
      </c>
      <c r="F5" s="43" t="n">
        <f aca="false">Forecast!F6</f>
        <v>140775</v>
      </c>
      <c r="G5" s="43" t="n">
        <f aca="false">Forecast!G6</f>
        <v>165873.1375</v>
      </c>
      <c r="H5" s="43" t="n">
        <f aca="false">Forecast!H6</f>
        <v>350552.5281875</v>
      </c>
      <c r="I5" s="43" t="n">
        <f aca="false">Forecast!I6</f>
        <v>377913.815828437</v>
      </c>
      <c r="J5" s="43" t="n">
        <f aca="false">Forecast!J6</f>
        <v>590567.672407579</v>
      </c>
      <c r="K5" s="43" t="n">
        <f aca="false">Forecast!K6</f>
        <v>620214.798269617</v>
      </c>
      <c r="L5" s="43" t="n">
        <f aca="false">Forecast!L6</f>
        <v>809465.922260965</v>
      </c>
      <c r="M5" s="43" t="n">
        <f aca="false">Forecast!M6</f>
        <v>841421.80187227</v>
      </c>
      <c r="N5" s="43" t="n">
        <f aca="false">Forecast!N6</f>
        <v>1058693.22338163</v>
      </c>
      <c r="O5" s="43" t="n">
        <f aca="false">Forecast!O6</f>
        <v>1092981.00199854</v>
      </c>
      <c r="P5" s="43" t="n">
        <f aca="false">Forecast!P6</f>
        <v>250000</v>
      </c>
    </row>
    <row r="6" customFormat="false" ht="21.75" hidden="false" customHeight="true" outlineLevel="0" collapsed="false">
      <c r="B6" s="44" t="str">
        <f aca="false">"(+) Total Inflows ("&amp;Assumptions!C3&amp;")"</f>
        <v>(+) Total Inflows ($)</v>
      </c>
      <c r="C6" s="45" t="n">
        <f aca="false">Forecast!C12</f>
        <v>100000</v>
      </c>
      <c r="D6" s="45" t="n">
        <f aca="false">Forecast!D12</f>
        <v>100500</v>
      </c>
      <c r="E6" s="45" t="n">
        <f aca="false">Forecast!E12</f>
        <v>501002.5</v>
      </c>
      <c r="F6" s="45" t="n">
        <f aca="false">Forecast!F12</f>
        <v>503507.5125</v>
      </c>
      <c r="G6" s="45" t="n">
        <f aca="false">Forecast!G12</f>
        <v>506025.0500625</v>
      </c>
      <c r="H6" s="45" t="n">
        <f aca="false">Forecast!H12</f>
        <v>508555.175312812</v>
      </c>
      <c r="I6" s="45" t="n">
        <f aca="false">Forecast!I12</f>
        <v>511097.951189376</v>
      </c>
      <c r="J6" s="45" t="n">
        <f aca="false">Forecast!J12</f>
        <v>513653.440945323</v>
      </c>
      <c r="K6" s="45" t="n">
        <f aca="false">Forecast!K12</f>
        <v>516221.70815005</v>
      </c>
      <c r="L6" s="45" t="n">
        <f aca="false">Forecast!L12</f>
        <v>518802.8166908</v>
      </c>
      <c r="M6" s="45" t="n">
        <f aca="false">Forecast!M12</f>
        <v>521396.830774254</v>
      </c>
      <c r="N6" s="45" t="n">
        <f aca="false">Forecast!N12</f>
        <v>524003.814928125</v>
      </c>
      <c r="O6" s="45" t="n">
        <f aca="false">Forecast!O12</f>
        <v>526623.834002766</v>
      </c>
      <c r="P6" s="45" t="n">
        <f aca="false">SUM(C6:O6)</f>
        <v>5851390.63455601</v>
      </c>
    </row>
    <row r="7" customFormat="false" ht="21.75" hidden="false" customHeight="true" outlineLevel="0" collapsed="false">
      <c r="B7" s="46" t="str">
        <f aca="false">"(-) Total Outflows ("&amp;Assumptions!C3&amp;")"</f>
        <v>(-) Total Outflows ($)</v>
      </c>
      <c r="C7" s="47" t="n">
        <f aca="false">Forecast!C32</f>
        <v>42200</v>
      </c>
      <c r="D7" s="47" t="n">
        <f aca="false">Forecast!D32</f>
        <v>475652.5</v>
      </c>
      <c r="E7" s="47" t="n">
        <f aca="false">Forecast!E32</f>
        <v>292875</v>
      </c>
      <c r="F7" s="47" t="n">
        <f aca="false">Forecast!F32</f>
        <v>478409.375</v>
      </c>
      <c r="G7" s="47" t="n">
        <f aca="false">Forecast!G32</f>
        <v>321345.659375</v>
      </c>
      <c r="H7" s="47" t="n">
        <f aca="false">Forecast!H32</f>
        <v>481193.887671875</v>
      </c>
      <c r="I7" s="47" t="n">
        <f aca="false">Forecast!I32</f>
        <v>298444.094610234</v>
      </c>
      <c r="J7" s="47" t="n">
        <f aca="false">Forecast!J32</f>
        <v>484006.315083285</v>
      </c>
      <c r="K7" s="47" t="n">
        <f aca="false">Forecast!K32</f>
        <v>326970.584158702</v>
      </c>
      <c r="L7" s="47" t="n">
        <f aca="false">Forecast!L32</f>
        <v>486846.937079495</v>
      </c>
      <c r="M7" s="47" t="n">
        <f aca="false">Forecast!M32</f>
        <v>304125.409264893</v>
      </c>
      <c r="N7" s="47" t="n">
        <f aca="false">Forecast!N32</f>
        <v>489716.036311217</v>
      </c>
      <c r="O7" s="47" t="n">
        <f aca="false">Forecast!O32</f>
        <v>332708.853992773</v>
      </c>
      <c r="P7" s="47" t="n">
        <f aca="false">SUM(C7:O7)</f>
        <v>4814494.65254748</v>
      </c>
    </row>
    <row r="8" customFormat="false" ht="21.75" hidden="false" customHeight="true" outlineLevel="0" collapsed="false">
      <c r="B8" s="48" t="str">
        <f aca="false">"(+/-) Net Financing ("&amp;Assumptions!C3&amp;")"</f>
        <v>(+/-) Net Financing ($)</v>
      </c>
      <c r="C8" s="49" t="n">
        <f aca="false">Forecast!C42</f>
        <v>0</v>
      </c>
      <c r="D8" s="49" t="n">
        <f aca="false">Forecast!D42</f>
        <v>0</v>
      </c>
      <c r="E8" s="49" t="n">
        <f aca="false">Forecast!E42</f>
        <v>0</v>
      </c>
      <c r="F8" s="49" t="n">
        <f aca="false">Forecast!F42</f>
        <v>0</v>
      </c>
      <c r="G8" s="49" t="n">
        <f aca="false">Forecast!G42</f>
        <v>0</v>
      </c>
      <c r="H8" s="49" t="n">
        <f aca="false">Forecast!H42</f>
        <v>0</v>
      </c>
      <c r="I8" s="49" t="n">
        <f aca="false">Forecast!I42</f>
        <v>0</v>
      </c>
      <c r="J8" s="49" t="n">
        <f aca="false">Forecast!J42</f>
        <v>0</v>
      </c>
      <c r="K8" s="49" t="n">
        <f aca="false">Forecast!K42</f>
        <v>0</v>
      </c>
      <c r="L8" s="49" t="n">
        <f aca="false">Forecast!L42</f>
        <v>0</v>
      </c>
      <c r="M8" s="49" t="n">
        <f aca="false">Forecast!M42</f>
        <v>0</v>
      </c>
      <c r="N8" s="49" t="n">
        <f aca="false">Forecast!N42</f>
        <v>0</v>
      </c>
      <c r="O8" s="49" t="n">
        <f aca="false">Forecast!O42</f>
        <v>0</v>
      </c>
      <c r="P8" s="49" t="n">
        <f aca="false">SUM(C8:O8)</f>
        <v>0</v>
      </c>
    </row>
    <row r="9" customFormat="false" ht="21.75" hidden="false" customHeight="true" outlineLevel="0" collapsed="false">
      <c r="B9" s="48" t="str">
        <f aca="false">"(+/-) Taxes ("&amp;Assumptions!C3&amp;")"</f>
        <v>(+/-) Taxes ($)</v>
      </c>
      <c r="C9" s="49" t="n">
        <f aca="false">Forecast!C45</f>
        <v>-0</v>
      </c>
      <c r="D9" s="49" t="n">
        <f aca="false">Forecast!D45</f>
        <v>0</v>
      </c>
      <c r="E9" s="49" t="n">
        <f aca="false">Forecast!E45</f>
        <v>0</v>
      </c>
      <c r="F9" s="49" t="n">
        <f aca="false">Forecast!F45</f>
        <v>0</v>
      </c>
      <c r="G9" s="49" t="n">
        <f aca="false">Forecast!G45</f>
        <v>0</v>
      </c>
      <c r="H9" s="49" t="n">
        <f aca="false">Forecast!H45</f>
        <v>0</v>
      </c>
      <c r="I9" s="49" t="n">
        <f aca="false">Forecast!I45</f>
        <v>0</v>
      </c>
      <c r="J9" s="49" t="n">
        <f aca="false">Forecast!J45</f>
        <v>0</v>
      </c>
      <c r="K9" s="49" t="n">
        <f aca="false">Forecast!K45</f>
        <v>0</v>
      </c>
      <c r="L9" s="49" t="n">
        <f aca="false">Forecast!L45</f>
        <v>0</v>
      </c>
      <c r="M9" s="49" t="n">
        <f aca="false">Forecast!M45</f>
        <v>0</v>
      </c>
      <c r="N9" s="49" t="n">
        <f aca="false">Forecast!N45</f>
        <v>0</v>
      </c>
      <c r="O9" s="49" t="n">
        <f aca="false">Forecast!O45</f>
        <v>0</v>
      </c>
      <c r="P9" s="49" t="n">
        <f aca="false">SUM(C9:O9)</f>
        <v>0</v>
      </c>
    </row>
    <row r="10" customFormat="false" ht="21.75" hidden="false" customHeight="true" outlineLevel="0" collapsed="false">
      <c r="B10" s="50" t="str">
        <f aca="false">"Closing Cash ("&amp;Assumptions!C3&amp;")"</f>
        <v>Closing Cash ($)</v>
      </c>
      <c r="C10" s="51" t="n">
        <f aca="false">Forecast!C48</f>
        <v>307800</v>
      </c>
      <c r="D10" s="51" t="n">
        <f aca="false">Forecast!D48</f>
        <v>-67352.5</v>
      </c>
      <c r="E10" s="51" t="n">
        <f aca="false">Forecast!E48</f>
        <v>140775</v>
      </c>
      <c r="F10" s="51" t="n">
        <f aca="false">Forecast!F48</f>
        <v>165873.1375</v>
      </c>
      <c r="G10" s="51" t="n">
        <f aca="false">Forecast!G48</f>
        <v>350552.5281875</v>
      </c>
      <c r="H10" s="51" t="n">
        <f aca="false">Forecast!H48</f>
        <v>377913.815828437</v>
      </c>
      <c r="I10" s="51" t="n">
        <f aca="false">Forecast!I48</f>
        <v>590567.672407579</v>
      </c>
      <c r="J10" s="51" t="n">
        <f aca="false">Forecast!J48</f>
        <v>620214.798269617</v>
      </c>
      <c r="K10" s="51" t="n">
        <f aca="false">Forecast!K48</f>
        <v>809465.922260965</v>
      </c>
      <c r="L10" s="51" t="n">
        <f aca="false">Forecast!L48</f>
        <v>841421.80187227</v>
      </c>
      <c r="M10" s="51" t="n">
        <f aca="false">Forecast!M48</f>
        <v>1058693.22338163</v>
      </c>
      <c r="N10" s="51" t="n">
        <f aca="false">Forecast!N48</f>
        <v>1092981.00199854</v>
      </c>
      <c r="O10" s="51" t="n">
        <f aca="false">Forecast!O48</f>
        <v>1286895.98200853</v>
      </c>
      <c r="P10" s="51" t="n">
        <f aca="false">Forecast!P48</f>
        <v>1286895.98200853</v>
      </c>
    </row>
    <row r="11" customFormat="false" ht="21.75" hidden="false" customHeight="true" outlineLevel="0" collapsed="false">
      <c r="B11" s="40" t="str">
        <f aca="false">"  Min Cash Target ("&amp;Assumptions!C3&amp;")"</f>
        <v>  Min Cash Target ($)</v>
      </c>
      <c r="C11" s="41" t="n">
        <f aca="false">Forecast!C49</f>
        <v>150000</v>
      </c>
      <c r="D11" s="41" t="n">
        <f aca="false">Forecast!D49</f>
        <v>150000</v>
      </c>
      <c r="E11" s="41" t="n">
        <f aca="false">Forecast!E49</f>
        <v>150000</v>
      </c>
      <c r="F11" s="41" t="n">
        <f aca="false">Forecast!F49</f>
        <v>150000</v>
      </c>
      <c r="G11" s="41" t="n">
        <f aca="false">Forecast!G49</f>
        <v>150000</v>
      </c>
      <c r="H11" s="41" t="n">
        <f aca="false">Forecast!H49</f>
        <v>150000</v>
      </c>
      <c r="I11" s="41" t="n">
        <f aca="false">Forecast!I49</f>
        <v>150000</v>
      </c>
      <c r="J11" s="41" t="n">
        <f aca="false">Forecast!J49</f>
        <v>150000</v>
      </c>
      <c r="K11" s="41" t="n">
        <f aca="false">Forecast!K49</f>
        <v>150000</v>
      </c>
      <c r="L11" s="41" t="n">
        <f aca="false">Forecast!L49</f>
        <v>150000</v>
      </c>
      <c r="M11" s="41" t="n">
        <f aca="false">Forecast!M49</f>
        <v>150000</v>
      </c>
      <c r="N11" s="41" t="n">
        <f aca="false">Forecast!N49</f>
        <v>150000</v>
      </c>
      <c r="O11" s="41" t="n">
        <f aca="false">Forecast!O49</f>
        <v>150000</v>
      </c>
      <c r="P11" s="41" t="n">
        <f aca="false">Forecast!P49</f>
        <v>150000</v>
      </c>
    </row>
    <row r="12" customFormat="false" ht="21.75" hidden="false" customHeight="true" outlineLevel="0" collapsed="false">
      <c r="B12" s="48" t="str">
        <f aca="false">"  Surplus / (Deficit) ("&amp;Assumptions!C3&amp;")"</f>
        <v>  Surplus / (Deficit) ($)</v>
      </c>
      <c r="C12" s="49" t="n">
        <f aca="false">Forecast!C50</f>
        <v>157800</v>
      </c>
      <c r="D12" s="49" t="n">
        <f aca="false">Forecast!D50</f>
        <v>-217352.5</v>
      </c>
      <c r="E12" s="49" t="n">
        <f aca="false">Forecast!E50</f>
        <v>-9225</v>
      </c>
      <c r="F12" s="49" t="n">
        <f aca="false">Forecast!F50</f>
        <v>15873.1375</v>
      </c>
      <c r="G12" s="49" t="n">
        <f aca="false">Forecast!G50</f>
        <v>200552.5281875</v>
      </c>
      <c r="H12" s="49" t="n">
        <f aca="false">Forecast!H50</f>
        <v>227913.815828437</v>
      </c>
      <c r="I12" s="49" t="n">
        <f aca="false">Forecast!I50</f>
        <v>440567.672407579</v>
      </c>
      <c r="J12" s="49" t="n">
        <f aca="false">Forecast!J50</f>
        <v>470214.798269617</v>
      </c>
      <c r="K12" s="49" t="n">
        <f aca="false">Forecast!K50</f>
        <v>659465.922260965</v>
      </c>
      <c r="L12" s="49" t="n">
        <f aca="false">Forecast!L50</f>
        <v>691421.80187227</v>
      </c>
      <c r="M12" s="49" t="n">
        <f aca="false">Forecast!M50</f>
        <v>908693.223381631</v>
      </c>
      <c r="N12" s="49" t="n">
        <f aca="false">Forecast!N50</f>
        <v>942981.001998539</v>
      </c>
      <c r="O12" s="49" t="n">
        <f aca="false">Forecast!O50</f>
        <v>1136895.98200853</v>
      </c>
      <c r="P12" s="49" t="n">
        <f aca="false">Forecast!P50</f>
        <v>1136895.98200853</v>
      </c>
    </row>
  </sheetData>
  <sheetProtection sheet="true" password="ce4b"/>
  <mergeCells count="2">
    <mergeCell ref="B1:P1"/>
    <mergeCell ref="B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7"/>
  <sheetViews>
    <sheetView showFormulas="false" showGridLines="fals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J7" activeCellId="0" sqref="J7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" width="44"/>
    <col collapsed="false" customWidth="true" hidden="false" outlineLevel="0" max="4" min="2" style="1" width="18"/>
    <col collapsed="false" customWidth="true" hidden="false" outlineLevel="0" max="10" min="5" style="1" width="8"/>
  </cols>
  <sheetData>
    <row r="1" customFormat="false" ht="27.75" hidden="false" customHeight="true" outlineLevel="0" collapsed="false">
      <c r="A1" s="52" t="s">
        <v>127</v>
      </c>
      <c r="B1" s="52"/>
      <c r="C1" s="52"/>
      <c r="D1" s="52"/>
      <c r="E1" s="52"/>
      <c r="F1" s="52"/>
      <c r="G1" s="52"/>
      <c r="H1" s="52"/>
      <c r="I1" s="52"/>
      <c r="J1" s="52"/>
    </row>
    <row r="2" customFormat="false" ht="14.25" hidden="false" customHeight="true" outlineLevel="0" collapsed="false">
      <c r="A2" s="53" t="s">
        <v>128</v>
      </c>
      <c r="B2" s="53"/>
      <c r="C2" s="53"/>
      <c r="D2" s="53"/>
      <c r="E2" s="53"/>
      <c r="F2" s="53"/>
      <c r="G2" s="53"/>
      <c r="H2" s="53"/>
      <c r="I2" s="53"/>
      <c r="J2" s="53"/>
    </row>
    <row r="4" customFormat="false" ht="21.75" hidden="false" customHeight="true" outlineLevel="0" collapsed="false">
      <c r="A4" s="54" t="s">
        <v>129</v>
      </c>
      <c r="B4" s="54"/>
      <c r="C4" s="54"/>
      <c r="D4" s="54"/>
      <c r="E4" s="54"/>
      <c r="F4" s="54"/>
      <c r="G4" s="54"/>
      <c r="H4" s="54"/>
      <c r="I4" s="54"/>
      <c r="J4" s="54"/>
    </row>
    <row r="5" customFormat="false" ht="18" hidden="false" customHeight="true" outlineLevel="0" collapsed="false">
      <c r="A5" s="55" t="s">
        <v>130</v>
      </c>
      <c r="B5" s="55"/>
      <c r="C5" s="55"/>
      <c r="D5" s="55"/>
      <c r="E5" s="55"/>
      <c r="F5" s="55"/>
      <c r="G5" s="55"/>
      <c r="H5" s="55"/>
      <c r="I5" s="55"/>
      <c r="J5" s="55"/>
    </row>
    <row r="6" customFormat="false" ht="16.5" hidden="false" customHeight="true" outlineLevel="0" collapsed="false">
      <c r="A6" s="56" t="s">
        <v>131</v>
      </c>
      <c r="B6" s="57" t="n">
        <f aca="false">Assumptions!C8*52</f>
        <v>26000000</v>
      </c>
    </row>
    <row r="7" customFormat="false" ht="16.5" hidden="false" customHeight="true" outlineLevel="0" collapsed="false">
      <c r="A7" s="56" t="s">
        <v>132</v>
      </c>
      <c r="B7" s="58" t="n">
        <f aca="false">1-Assumptions!C13</f>
        <v>1</v>
      </c>
    </row>
    <row r="8" customFormat="false" ht="16.5" hidden="false" customHeight="true" outlineLevel="0" collapsed="false">
      <c r="A8" s="56" t="s">
        <v>133</v>
      </c>
      <c r="B8" s="57" t="n">
        <f aca="false">Assumptions!C8*52*Assumptions!C13</f>
        <v>0</v>
      </c>
    </row>
    <row r="9" customFormat="false" ht="16.5" hidden="false" customHeight="true" outlineLevel="0" collapsed="false">
      <c r="A9" s="56" t="s">
        <v>134</v>
      </c>
      <c r="B9" s="57" t="n">
        <f aca="false">Assumptions!C21+Assumptions!C22+Assumptions!C23+Assumptions!C24+Assumptions!C25+Assumptions!C26</f>
        <v>42200</v>
      </c>
    </row>
    <row r="10" customFormat="false" ht="16.5" hidden="false" customHeight="true" outlineLevel="0" collapsed="false">
      <c r="A10" s="56" t="s">
        <v>135</v>
      </c>
      <c r="B10" s="57" t="n">
        <f aca="false">Assumptions!C20</f>
        <v>2</v>
      </c>
    </row>
    <row r="11" customFormat="false" ht="16.5" hidden="false" customHeight="true" outlineLevel="0" collapsed="false">
      <c r="A11" s="59" t="s">
        <v>136</v>
      </c>
      <c r="B11" s="60" t="n">
        <f aca="false">B9+B10</f>
        <v>42202</v>
      </c>
    </row>
    <row r="12" customFormat="false" ht="16.5" hidden="false" customHeight="true" outlineLevel="0" collapsed="false">
      <c r="A12" s="56" t="s">
        <v>137</v>
      </c>
      <c r="B12" s="57" t="n">
        <f aca="false">B11*52</f>
        <v>2194504</v>
      </c>
    </row>
    <row r="13" customFormat="false" ht="16.5" hidden="false" customHeight="true" outlineLevel="0" collapsed="false">
      <c r="A13" s="56" t="s">
        <v>138</v>
      </c>
      <c r="B13" s="57" t="n">
        <f aca="false">Assumptions!C33</f>
        <v>2000000</v>
      </c>
    </row>
    <row r="14" customFormat="false" ht="18" hidden="false" customHeight="true" outlineLevel="0" collapsed="false">
      <c r="A14" s="55" t="s">
        <v>139</v>
      </c>
      <c r="B14" s="55"/>
      <c r="C14" s="55"/>
      <c r="D14" s="55"/>
      <c r="E14" s="55"/>
      <c r="F14" s="55"/>
      <c r="G14" s="55"/>
      <c r="H14" s="55"/>
      <c r="I14" s="55"/>
      <c r="J14" s="55"/>
    </row>
    <row r="15" customFormat="false" ht="16.5" hidden="false" customHeight="true" outlineLevel="0" collapsed="false">
      <c r="A15" s="56" t="s">
        <v>140</v>
      </c>
      <c r="B15" s="57" t="n">
        <f aca="false">Forecast!C6</f>
        <v>250000</v>
      </c>
    </row>
    <row r="16" customFormat="false" ht="16.5" hidden="false" customHeight="true" outlineLevel="0" collapsed="false">
      <c r="A16" s="56" t="s">
        <v>141</v>
      </c>
      <c r="B16" s="57" t="n">
        <f aca="false">Assumptions!C33-Assumptions!C34</f>
        <v>2000000</v>
      </c>
    </row>
    <row r="17" customFormat="false" ht="16.5" hidden="false" customHeight="true" outlineLevel="0" collapsed="false">
      <c r="A17" s="59" t="s">
        <v>142</v>
      </c>
      <c r="B17" s="60" t="n">
        <f aca="false">B15+B16</f>
        <v>2250000</v>
      </c>
    </row>
    <row r="18" customFormat="false" ht="18" hidden="false" customHeight="true" outlineLevel="0" collapsed="false">
      <c r="A18" s="55" t="s">
        <v>143</v>
      </c>
      <c r="B18" s="55"/>
      <c r="C18" s="55"/>
      <c r="D18" s="55"/>
      <c r="E18" s="55"/>
      <c r="F18" s="55"/>
      <c r="G18" s="55"/>
      <c r="H18" s="55"/>
      <c r="I18" s="55"/>
      <c r="J18" s="55"/>
    </row>
    <row r="19" customFormat="false" ht="16.5" hidden="false" customHeight="true" outlineLevel="0" collapsed="false">
      <c r="A19" s="59" t="s">
        <v>144</v>
      </c>
      <c r="B19" s="60" t="n">
        <f aca="false">IF(B7=0,0,B12/B7)</f>
        <v>2194504</v>
      </c>
    </row>
    <row r="20" customFormat="false" ht="16.5" hidden="false" customHeight="true" outlineLevel="0" collapsed="false">
      <c r="A20" s="56" t="s">
        <v>145</v>
      </c>
      <c r="B20" s="57" t="n">
        <f aca="false">B6-B19</f>
        <v>23805496</v>
      </c>
    </row>
    <row r="21" customFormat="false" ht="16.5" hidden="false" customHeight="true" outlineLevel="0" collapsed="false">
      <c r="A21" s="59" t="s">
        <v>146</v>
      </c>
      <c r="B21" s="61" t="n">
        <f aca="false">IF(B6=0,0,B20/B6)</f>
        <v>0.915596</v>
      </c>
    </row>
    <row r="22" customFormat="false" ht="16.5" hidden="false" customHeight="true" outlineLevel="0" collapsed="false">
      <c r="A22" s="59" t="s">
        <v>147</v>
      </c>
      <c r="B22" s="62" t="n">
        <f aca="false">IF(B11=0,999,B17/B11)</f>
        <v>53.315008767357</v>
      </c>
    </row>
    <row r="23" customFormat="false" ht="16.5" hidden="false" customHeight="true" outlineLevel="0" collapsed="false">
      <c r="A23" s="56" t="s">
        <v>148</v>
      </c>
      <c r="B23" s="57" t="n">
        <f aca="false">Forecast!P48</f>
        <v>1286895.98200853</v>
      </c>
      <c r="C23" s="63" t="s">
        <v>149</v>
      </c>
      <c r="D23" s="63"/>
      <c r="E23" s="63"/>
      <c r="F23" s="63"/>
      <c r="G23" s="63"/>
      <c r="H23" s="63"/>
      <c r="I23" s="63"/>
      <c r="J23" s="63"/>
    </row>
    <row r="25" customFormat="false" ht="21.75" hidden="false" customHeight="true" outlineLevel="0" collapsed="false">
      <c r="A25" s="54" t="s">
        <v>150</v>
      </c>
      <c r="B25" s="54"/>
      <c r="C25" s="54"/>
      <c r="D25" s="54"/>
      <c r="E25" s="54"/>
      <c r="F25" s="54"/>
      <c r="G25" s="54"/>
      <c r="H25" s="54"/>
      <c r="I25" s="54"/>
      <c r="J25" s="54"/>
    </row>
    <row r="26" customFormat="false" ht="18" hidden="false" customHeight="true" outlineLevel="0" collapsed="false">
      <c r="A26" s="64" t="s">
        <v>151</v>
      </c>
      <c r="B26" s="64"/>
      <c r="C26" s="64"/>
      <c r="D26" s="64"/>
      <c r="E26" s="64"/>
      <c r="F26" s="64"/>
      <c r="G26" s="64"/>
      <c r="H26" s="64"/>
      <c r="I26" s="64"/>
      <c r="J26" s="64"/>
    </row>
    <row r="27" customFormat="false" ht="16.5" hidden="false" customHeight="true" outlineLevel="0" collapsed="false">
      <c r="A27" s="56" t="s">
        <v>152</v>
      </c>
      <c r="B27" s="65" t="n">
        <v>0.1</v>
      </c>
      <c r="C27" s="63" t="s">
        <v>153</v>
      </c>
      <c r="D27" s="63"/>
      <c r="E27" s="63"/>
      <c r="F27" s="63"/>
      <c r="G27" s="63"/>
      <c r="H27" s="63"/>
      <c r="I27" s="63"/>
      <c r="J27" s="63"/>
    </row>
    <row r="28" customFormat="false" ht="16.5" hidden="false" customHeight="true" outlineLevel="0" collapsed="false">
      <c r="A28" s="56" t="s">
        <v>154</v>
      </c>
      <c r="B28" s="65" t="n">
        <v>0.2</v>
      </c>
      <c r="C28" s="63" t="s">
        <v>155</v>
      </c>
      <c r="D28" s="63"/>
      <c r="E28" s="63"/>
      <c r="F28" s="63"/>
      <c r="G28" s="63"/>
      <c r="H28" s="63"/>
      <c r="I28" s="63"/>
      <c r="J28" s="63"/>
    </row>
    <row r="29" customFormat="false" ht="16.5" hidden="false" customHeight="true" outlineLevel="0" collapsed="false">
      <c r="A29" s="56" t="s">
        <v>156</v>
      </c>
      <c r="B29" s="65" t="n">
        <v>0.35</v>
      </c>
      <c r="C29" s="63" t="s">
        <v>157</v>
      </c>
      <c r="D29" s="63"/>
      <c r="E29" s="63"/>
      <c r="F29" s="63"/>
      <c r="G29" s="63"/>
      <c r="H29" s="63"/>
      <c r="I29" s="63"/>
      <c r="J29" s="63"/>
    </row>
    <row r="30" customFormat="false" ht="16.5" hidden="false" customHeight="true" outlineLevel="0" collapsed="false">
      <c r="A30" s="56" t="s">
        <v>158</v>
      </c>
      <c r="B30" s="66" t="n">
        <v>3</v>
      </c>
      <c r="C30" s="63" t="s">
        <v>159</v>
      </c>
      <c r="D30" s="63"/>
      <c r="E30" s="63"/>
      <c r="F30" s="63"/>
      <c r="G30" s="63"/>
      <c r="H30" s="63"/>
      <c r="I30" s="63"/>
      <c r="J30" s="63"/>
    </row>
    <row r="31" customFormat="false" ht="18" hidden="false" customHeight="true" outlineLevel="0" collapsed="false">
      <c r="A31" s="64" t="s">
        <v>160</v>
      </c>
      <c r="B31" s="64"/>
      <c r="C31" s="64"/>
      <c r="D31" s="64"/>
      <c r="E31" s="64"/>
      <c r="F31" s="64"/>
      <c r="G31" s="64"/>
      <c r="H31" s="64"/>
      <c r="I31" s="64"/>
      <c r="J31" s="64"/>
    </row>
    <row r="32" customFormat="false" ht="16.5" hidden="false" customHeight="true" outlineLevel="0" collapsed="false">
      <c r="A32" s="56" t="s">
        <v>161</v>
      </c>
      <c r="B32" s="65" t="n">
        <v>0.28</v>
      </c>
      <c r="C32" s="63" t="s">
        <v>162</v>
      </c>
      <c r="D32" s="63"/>
      <c r="E32" s="63"/>
      <c r="F32" s="63"/>
      <c r="G32" s="63"/>
      <c r="H32" s="63"/>
      <c r="I32" s="63"/>
      <c r="J32" s="63"/>
    </row>
    <row r="33" customFormat="false" ht="16.5" hidden="false" customHeight="true" outlineLevel="0" collapsed="false">
      <c r="A33" s="56" t="s">
        <v>163</v>
      </c>
      <c r="B33" s="65" t="n">
        <v>1</v>
      </c>
      <c r="C33" s="63" t="s">
        <v>164</v>
      </c>
      <c r="D33" s="63"/>
      <c r="E33" s="63"/>
      <c r="F33" s="63"/>
      <c r="G33" s="63"/>
      <c r="H33" s="63"/>
      <c r="I33" s="63"/>
      <c r="J33" s="63"/>
    </row>
    <row r="34" customFormat="false" ht="16.5" hidden="false" customHeight="true" outlineLevel="0" collapsed="false">
      <c r="A34" s="56" t="s">
        <v>165</v>
      </c>
      <c r="B34" s="66" t="n">
        <v>6</v>
      </c>
      <c r="C34" s="63" t="s">
        <v>166</v>
      </c>
      <c r="D34" s="63"/>
      <c r="E34" s="63"/>
      <c r="F34" s="63"/>
      <c r="G34" s="63"/>
      <c r="H34" s="63"/>
      <c r="I34" s="63"/>
      <c r="J34" s="63"/>
    </row>
    <row r="35" customFormat="false" ht="18" hidden="false" customHeight="true" outlineLevel="0" collapsed="false">
      <c r="A35" s="64" t="s">
        <v>167</v>
      </c>
      <c r="B35" s="64"/>
      <c r="C35" s="64"/>
      <c r="D35" s="64"/>
      <c r="E35" s="64"/>
      <c r="F35" s="64"/>
      <c r="G35" s="64"/>
      <c r="H35" s="64"/>
      <c r="I35" s="64"/>
      <c r="J35" s="64"/>
    </row>
    <row r="36" customFormat="false" ht="16.5" hidden="false" customHeight="true" outlineLevel="0" collapsed="false">
      <c r="A36" s="56" t="s">
        <v>168</v>
      </c>
      <c r="B36" s="65" t="n">
        <v>0.08</v>
      </c>
      <c r="C36" s="63" t="s">
        <v>169</v>
      </c>
      <c r="D36" s="63"/>
      <c r="E36" s="63"/>
      <c r="F36" s="63"/>
      <c r="G36" s="63"/>
      <c r="H36" s="63"/>
      <c r="I36" s="63"/>
      <c r="J36" s="63"/>
    </row>
    <row r="37" customFormat="false" ht="16.5" hidden="false" customHeight="true" outlineLevel="0" collapsed="false">
      <c r="A37" s="56" t="s">
        <v>170</v>
      </c>
      <c r="B37" s="65" t="n">
        <v>0.15</v>
      </c>
      <c r="C37" s="63" t="s">
        <v>171</v>
      </c>
      <c r="D37" s="63"/>
      <c r="E37" s="63"/>
      <c r="F37" s="63"/>
      <c r="G37" s="63"/>
      <c r="H37" s="63"/>
      <c r="I37" s="63"/>
      <c r="J37" s="63"/>
    </row>
    <row r="38" customFormat="false" ht="16.5" hidden="false" customHeight="true" outlineLevel="0" collapsed="false">
      <c r="A38" s="56" t="s">
        <v>172</v>
      </c>
      <c r="B38" s="65" t="n">
        <v>0.4</v>
      </c>
      <c r="C38" s="63" t="s">
        <v>173</v>
      </c>
      <c r="D38" s="63"/>
      <c r="E38" s="63"/>
      <c r="F38" s="63"/>
      <c r="G38" s="63"/>
      <c r="H38" s="63"/>
      <c r="I38" s="63"/>
      <c r="J38" s="63"/>
    </row>
    <row r="39" customFormat="false" ht="18" hidden="false" customHeight="true" outlineLevel="0" collapsed="false">
      <c r="A39" s="64" t="s">
        <v>174</v>
      </c>
      <c r="B39" s="64"/>
      <c r="C39" s="64"/>
      <c r="D39" s="64"/>
      <c r="E39" s="64"/>
      <c r="F39" s="64"/>
      <c r="G39" s="64"/>
      <c r="H39" s="64"/>
      <c r="I39" s="64"/>
      <c r="J39" s="64"/>
    </row>
    <row r="40" customFormat="false" ht="16.5" hidden="false" customHeight="true" outlineLevel="0" collapsed="false">
      <c r="A40" s="56" t="s">
        <v>175</v>
      </c>
      <c r="B40" s="67" t="n">
        <v>60000</v>
      </c>
      <c r="C40" s="63" t="s">
        <v>176</v>
      </c>
      <c r="D40" s="63"/>
      <c r="E40" s="63"/>
      <c r="F40" s="63"/>
      <c r="G40" s="63"/>
      <c r="H40" s="63"/>
      <c r="I40" s="63"/>
      <c r="J40" s="63"/>
    </row>
    <row r="41" customFormat="false" ht="16.5" hidden="false" customHeight="true" outlineLevel="0" collapsed="false">
      <c r="A41" s="56" t="s">
        <v>177</v>
      </c>
      <c r="B41" s="67" t="n">
        <v>75000</v>
      </c>
      <c r="C41" s="63" t="s">
        <v>178</v>
      </c>
      <c r="D41" s="63"/>
      <c r="E41" s="63"/>
      <c r="F41" s="63"/>
      <c r="G41" s="63"/>
      <c r="H41" s="63"/>
      <c r="I41" s="63"/>
      <c r="J41" s="63"/>
    </row>
    <row r="42" customFormat="false" ht="16.5" hidden="false" customHeight="true" outlineLevel="0" collapsed="false">
      <c r="A42" s="56" t="s">
        <v>179</v>
      </c>
      <c r="B42" s="67" t="n">
        <v>25000</v>
      </c>
      <c r="C42" s="63" t="s">
        <v>180</v>
      </c>
      <c r="D42" s="63"/>
      <c r="E42" s="63"/>
      <c r="F42" s="63"/>
      <c r="G42" s="63"/>
      <c r="H42" s="63"/>
      <c r="I42" s="63"/>
      <c r="J42" s="63"/>
    </row>
    <row r="43" customFormat="false" ht="18" hidden="false" customHeight="true" outlineLevel="0" collapsed="false">
      <c r="A43" s="64" t="s">
        <v>181</v>
      </c>
      <c r="B43" s="64"/>
      <c r="C43" s="64"/>
      <c r="D43" s="64"/>
      <c r="E43" s="64"/>
      <c r="F43" s="64"/>
      <c r="G43" s="64"/>
      <c r="H43" s="64"/>
      <c r="I43" s="64"/>
      <c r="J43" s="64"/>
    </row>
    <row r="44" customFormat="false" ht="16.5" hidden="false" customHeight="true" outlineLevel="0" collapsed="false">
      <c r="A44" s="56" t="s">
        <v>182</v>
      </c>
      <c r="B44" s="65" t="n">
        <v>0.38</v>
      </c>
      <c r="C44" s="63" t="s">
        <v>183</v>
      </c>
      <c r="D44" s="63"/>
      <c r="E44" s="63"/>
      <c r="F44" s="63"/>
      <c r="G44" s="63"/>
      <c r="H44" s="63"/>
      <c r="I44" s="63"/>
      <c r="J44" s="63"/>
    </row>
    <row r="45" customFormat="false" ht="16.5" hidden="false" customHeight="true" outlineLevel="0" collapsed="false">
      <c r="A45" s="56" t="s">
        <v>184</v>
      </c>
      <c r="B45" s="65" t="n">
        <v>0.2</v>
      </c>
      <c r="C45" s="63" t="s">
        <v>185</v>
      </c>
      <c r="D45" s="63"/>
      <c r="E45" s="63"/>
      <c r="F45" s="63"/>
      <c r="G45" s="63"/>
      <c r="H45" s="63"/>
      <c r="I45" s="63"/>
      <c r="J45" s="63"/>
    </row>
    <row r="46" customFormat="false" ht="16.5" hidden="false" customHeight="true" outlineLevel="0" collapsed="false">
      <c r="A46" s="56" t="s">
        <v>186</v>
      </c>
      <c r="B46" s="66" t="n">
        <v>4</v>
      </c>
      <c r="C46" s="63" t="s">
        <v>187</v>
      </c>
      <c r="D46" s="63"/>
      <c r="E46" s="63"/>
      <c r="F46" s="63"/>
      <c r="G46" s="63"/>
      <c r="H46" s="63"/>
      <c r="I46" s="63"/>
      <c r="J46" s="63"/>
    </row>
    <row r="47" customFormat="false" ht="16.5" hidden="false" customHeight="true" outlineLevel="0" collapsed="false">
      <c r="A47" s="56" t="s">
        <v>188</v>
      </c>
      <c r="B47" s="66" t="n">
        <v>2</v>
      </c>
      <c r="C47" s="63" t="s">
        <v>189</v>
      </c>
      <c r="D47" s="63"/>
      <c r="E47" s="63"/>
      <c r="F47" s="63"/>
      <c r="G47" s="63"/>
      <c r="H47" s="63"/>
      <c r="I47" s="63"/>
      <c r="J47" s="63"/>
    </row>
    <row r="49" customFormat="false" ht="21.75" hidden="false" customHeight="true" outlineLevel="0" collapsed="false">
      <c r="A49" s="54" t="s">
        <v>190</v>
      </c>
      <c r="B49" s="54"/>
      <c r="C49" s="54"/>
      <c r="D49" s="54"/>
      <c r="E49" s="54"/>
      <c r="F49" s="54"/>
      <c r="G49" s="54"/>
      <c r="H49" s="54"/>
      <c r="I49" s="54"/>
      <c r="J49" s="54"/>
    </row>
    <row r="50" customFormat="false" ht="18" hidden="false" customHeight="true" outlineLevel="0" collapsed="false">
      <c r="A50" s="68" t="s">
        <v>191</v>
      </c>
      <c r="B50" s="69" t="s">
        <v>192</v>
      </c>
      <c r="C50" s="70" t="s">
        <v>193</v>
      </c>
      <c r="D50" s="71" t="s">
        <v>194</v>
      </c>
    </row>
    <row r="51" customFormat="false" ht="18" hidden="false" customHeight="true" outlineLevel="0" collapsed="false">
      <c r="A51" s="72" t="s">
        <v>151</v>
      </c>
      <c r="B51" s="72"/>
      <c r="C51" s="72"/>
      <c r="D51" s="72"/>
    </row>
    <row r="52" customFormat="false" ht="16.5" hidden="false" customHeight="true" outlineLevel="0" collapsed="false">
      <c r="A52" s="56" t="s">
        <v>195</v>
      </c>
      <c r="B52" s="73" t="n">
        <f aca="false">B6*(1-B27)</f>
        <v>23400000</v>
      </c>
      <c r="C52" s="74" t="n">
        <f aca="false">B6*(1-B28)</f>
        <v>20800000</v>
      </c>
      <c r="D52" s="75" t="n">
        <f aca="false">B6*(1-B29)</f>
        <v>16900000</v>
      </c>
    </row>
    <row r="53" customFormat="false" ht="16.5" hidden="false" customHeight="true" outlineLevel="0" collapsed="false">
      <c r="A53" s="56" t="s">
        <v>196</v>
      </c>
      <c r="B53" s="73" t="n">
        <f aca="false">B52*B7/12</f>
        <v>1950000</v>
      </c>
      <c r="C53" s="74" t="n">
        <f aca="false">C52*B7/12</f>
        <v>1733333.33333333</v>
      </c>
      <c r="D53" s="75" t="n">
        <f aca="false">D52*B7/12</f>
        <v>1408333.33333333</v>
      </c>
    </row>
    <row r="54" customFormat="false" ht="16.5" hidden="false" customHeight="true" outlineLevel="0" collapsed="false">
      <c r="A54" s="56" t="s">
        <v>197</v>
      </c>
      <c r="B54" s="73" t="n">
        <f aca="false">B12/12</f>
        <v>182875.333333333</v>
      </c>
      <c r="C54" s="74" t="n">
        <f aca="false">B12/12</f>
        <v>182875.333333333</v>
      </c>
      <c r="D54" s="75" t="n">
        <f aca="false">B12/12</f>
        <v>182875.333333333</v>
      </c>
    </row>
    <row r="55" customFormat="false" ht="16.5" hidden="false" customHeight="true" outlineLevel="0" collapsed="false">
      <c r="A55" s="56" t="s">
        <v>198</v>
      </c>
      <c r="B55" s="73" t="n">
        <f aca="false">B54-B53</f>
        <v>-1767124.66666667</v>
      </c>
      <c r="C55" s="74" t="n">
        <f aca="false">C54-C53</f>
        <v>-1550458</v>
      </c>
      <c r="D55" s="75" t="n">
        <f aca="false">D54-D53</f>
        <v>-1225458</v>
      </c>
    </row>
    <row r="56" customFormat="false" ht="16.5" hidden="false" customHeight="true" outlineLevel="0" collapsed="false">
      <c r="A56" s="59" t="s">
        <v>199</v>
      </c>
      <c r="B56" s="76" t="str">
        <f aca="false">IF(B55&lt;=0,"No shortfall",TEXT(ROUND(B17/B55*4.33,1),"0.0")&amp;" wks")</f>
        <v>No shortfall</v>
      </c>
      <c r="C56" s="76" t="str">
        <f aca="false">IF(C55&lt;=0,"No shortfall",TEXT(ROUND(B17/C55*4.33,1),"0.0")&amp;" wks")</f>
        <v>No shortfall</v>
      </c>
      <c r="D56" s="76" t="str">
        <f aca="false">IF(D55&lt;=0,"No shortfall",TEXT(ROUND(B17/D55*4.33,1),"0.0")&amp;" wks")</f>
        <v>No shortfall</v>
      </c>
    </row>
    <row r="57" customFormat="false" ht="16.5" hidden="false" customHeight="true" outlineLevel="0" collapsed="false">
      <c r="A57" s="56" t="s">
        <v>200</v>
      </c>
      <c r="B57" s="77" t="str">
        <f aca="false">IF(B52&gt;B19,"YES","NO")</f>
        <v>YES</v>
      </c>
      <c r="C57" s="78" t="str">
        <f aca="false">IF(C52&gt;B19,"YES","NO")</f>
        <v>YES</v>
      </c>
      <c r="D57" s="79" t="str">
        <f aca="false">IF(D52&gt;B19,"YES","NO")</f>
        <v>YES</v>
      </c>
    </row>
    <row r="58" customFormat="false" ht="16.5" hidden="false" customHeight="true" outlineLevel="0" collapsed="false">
      <c r="A58" s="59" t="s">
        <v>201</v>
      </c>
      <c r="B58" s="80" t="n">
        <f aca="false">IF(B52=0,0,(B52-B19)/B52)</f>
        <v>0.906217777777778</v>
      </c>
      <c r="C58" s="80" t="n">
        <f aca="false">IF(C52=0,0,(C52-B19)/C52)</f>
        <v>0.894495</v>
      </c>
      <c r="D58" s="80" t="n">
        <f aca="false">IF(D52=0,0,(D52-B19)/D52)</f>
        <v>0.870147692307692</v>
      </c>
    </row>
    <row r="59" customFormat="false" ht="18" hidden="false" customHeight="true" outlineLevel="0" collapsed="false">
      <c r="A59" s="72" t="s">
        <v>160</v>
      </c>
      <c r="B59" s="72"/>
      <c r="C59" s="72"/>
      <c r="D59" s="72"/>
    </row>
    <row r="60" customFormat="false" ht="16.5" hidden="false" customHeight="true" outlineLevel="0" collapsed="false">
      <c r="A60" s="56" t="s">
        <v>202</v>
      </c>
      <c r="B60" s="73" t="n">
        <f aca="false">B6*B32*B33*0.5</f>
        <v>3640000</v>
      </c>
      <c r="C60" s="74" t="n">
        <f aca="false">B6*B32*B33*0.75</f>
        <v>5460000</v>
      </c>
      <c r="D60" s="75" t="n">
        <f aca="false">B6*B32*B33</f>
        <v>7280000</v>
      </c>
    </row>
    <row r="61" customFormat="false" ht="16.5" hidden="false" customHeight="true" outlineLevel="0" collapsed="false">
      <c r="A61" s="56" t="s">
        <v>203</v>
      </c>
      <c r="B61" s="73" t="n">
        <f aca="false">B6-B60</f>
        <v>22360000</v>
      </c>
      <c r="C61" s="74" t="n">
        <f aca="false">B6-C60</f>
        <v>20540000</v>
      </c>
      <c r="D61" s="75" t="n">
        <f aca="false">B6-D60</f>
        <v>18720000</v>
      </c>
    </row>
    <row r="62" customFormat="false" ht="16.5" hidden="false" customHeight="true" outlineLevel="0" collapsed="false">
      <c r="A62" s="56" t="s">
        <v>204</v>
      </c>
      <c r="B62" s="73" t="n">
        <f aca="false">MAX(0,B12/12-B61*B7/12)</f>
        <v>0</v>
      </c>
      <c r="C62" s="74" t="n">
        <f aca="false">MAX(0,B12/12-C61*B7/12)</f>
        <v>0</v>
      </c>
      <c r="D62" s="75" t="n">
        <f aca="false">MAX(0,B12/12-D61*B7/12)</f>
        <v>0</v>
      </c>
    </row>
    <row r="63" customFormat="false" ht="16.5" hidden="false" customHeight="true" outlineLevel="0" collapsed="false">
      <c r="A63" s="59" t="s">
        <v>205</v>
      </c>
      <c r="B63" s="76" t="str">
        <f aca="false">IF(B62=0,"No shortfall",TEXT(ROUND(B17/B62*4.33,1),"0.0")&amp;" wks")</f>
        <v>No shortfall</v>
      </c>
      <c r="C63" s="76" t="str">
        <f aca="false">IF(C62=0,"No shortfall",TEXT(ROUND(B17/C62*4.33,1),"0.0")&amp;" wks")</f>
        <v>No shortfall</v>
      </c>
      <c r="D63" s="76" t="str">
        <f aca="false">IF(D62=0,"No shortfall",TEXT(ROUND(B17/D62*4.33,1),"0.0")&amp;" wks")</f>
        <v>No shortfall</v>
      </c>
    </row>
    <row r="64" customFormat="false" ht="18" hidden="false" customHeight="true" outlineLevel="0" collapsed="false">
      <c r="A64" s="72" t="s">
        <v>167</v>
      </c>
      <c r="B64" s="72"/>
      <c r="C64" s="72"/>
      <c r="D64" s="72"/>
    </row>
    <row r="65" customFormat="false" ht="16.5" hidden="false" customHeight="true" outlineLevel="0" collapsed="false">
      <c r="A65" s="56" t="s">
        <v>206</v>
      </c>
      <c r="B65" s="73" t="n">
        <f aca="false">B10*52*B36*0.5</f>
        <v>4.16</v>
      </c>
      <c r="C65" s="74" t="n">
        <f aca="false">B10*52*B36</f>
        <v>8.32</v>
      </c>
      <c r="D65" s="75" t="n">
        <f aca="false">B10*52*B36*1.5</f>
        <v>12.48</v>
      </c>
    </row>
    <row r="66" customFormat="false" ht="16.5" hidden="false" customHeight="true" outlineLevel="0" collapsed="false">
      <c r="A66" s="56" t="s">
        <v>207</v>
      </c>
      <c r="B66" s="73" t="n">
        <f aca="false">B8*B37*0.5</f>
        <v>0</v>
      </c>
      <c r="C66" s="74" t="n">
        <f aca="false">B8*B37</f>
        <v>0</v>
      </c>
      <c r="D66" s="75" t="n">
        <f aca="false">B8*B37*1.5</f>
        <v>0</v>
      </c>
    </row>
    <row r="67" customFormat="false" ht="16.5" hidden="false" customHeight="true" outlineLevel="0" collapsed="false">
      <c r="A67" s="59" t="s">
        <v>208</v>
      </c>
      <c r="B67" s="81" t="n">
        <f aca="false">B65+B66</f>
        <v>4.16</v>
      </c>
      <c r="C67" s="81" t="n">
        <f aca="false">C65+C66</f>
        <v>8.32</v>
      </c>
      <c r="D67" s="81" t="n">
        <f aca="false">D65+D66</f>
        <v>12.48</v>
      </c>
    </row>
    <row r="68" customFormat="false" ht="16.5" hidden="false" customHeight="true" outlineLevel="0" collapsed="false">
      <c r="A68" s="56" t="s">
        <v>209</v>
      </c>
      <c r="B68" s="73" t="n">
        <f aca="false">B67*B38</f>
        <v>1.664</v>
      </c>
      <c r="C68" s="74" t="n">
        <f aca="false">C67*B38</f>
        <v>3.328</v>
      </c>
      <c r="D68" s="75" t="n">
        <f aca="false">D67*B38</f>
        <v>4.992</v>
      </c>
    </row>
    <row r="69" customFormat="false" ht="16.5" hidden="false" customHeight="true" outlineLevel="0" collapsed="false">
      <c r="A69" s="56" t="s">
        <v>210</v>
      </c>
      <c r="B69" s="73" t="n">
        <f aca="false">-(B67-B68)</f>
        <v>-2.496</v>
      </c>
      <c r="C69" s="74" t="n">
        <f aca="false">-(C67-C68)</f>
        <v>-4.992</v>
      </c>
      <c r="D69" s="75" t="n">
        <f aca="false">-(D67-D68)</f>
        <v>-7.488</v>
      </c>
    </row>
    <row r="70" customFormat="false" ht="16.5" hidden="false" customHeight="true" outlineLevel="0" collapsed="false">
      <c r="A70" s="59" t="s">
        <v>211</v>
      </c>
      <c r="B70" s="80" t="n">
        <f aca="false">B7-(B67-B68)/B6</f>
        <v>0.999999904</v>
      </c>
      <c r="C70" s="80" t="n">
        <f aca="false">B7-(C67-C68)/B6</f>
        <v>0.999999808</v>
      </c>
      <c r="D70" s="80" t="n">
        <f aca="false">B7-(D67-D68)/B6</f>
        <v>0.999999712</v>
      </c>
    </row>
    <row r="71" customFormat="false" ht="18" hidden="false" customHeight="true" outlineLevel="0" collapsed="false">
      <c r="A71" s="72" t="s">
        <v>174</v>
      </c>
      <c r="B71" s="72"/>
      <c r="C71" s="72"/>
      <c r="D71" s="72"/>
    </row>
    <row r="72" customFormat="false" ht="16.5" hidden="false" customHeight="true" outlineLevel="0" collapsed="false">
      <c r="A72" s="59" t="s">
        <v>212</v>
      </c>
      <c r="B72" s="81" t="n">
        <f aca="false">B40</f>
        <v>60000</v>
      </c>
      <c r="C72" s="81" t="n">
        <f aca="false">B40+B41</f>
        <v>135000</v>
      </c>
      <c r="D72" s="81" t="n">
        <f aca="false">B40+B41+B42</f>
        <v>160000</v>
      </c>
    </row>
    <row r="73" customFormat="false" ht="16.5" hidden="false" customHeight="true" outlineLevel="0" collapsed="false">
      <c r="A73" s="56" t="s">
        <v>213</v>
      </c>
      <c r="B73" s="73" t="n">
        <f aca="false">MAX(0,B17-B72)</f>
        <v>2190000</v>
      </c>
      <c r="C73" s="74" t="n">
        <f aca="false">MAX(0,B17-C72)</f>
        <v>2115000</v>
      </c>
      <c r="D73" s="75" t="n">
        <f aca="false">MAX(0,B17-D72)</f>
        <v>2090000</v>
      </c>
    </row>
    <row r="74" customFormat="false" ht="16.5" hidden="false" customHeight="true" outlineLevel="0" collapsed="false">
      <c r="A74" s="59" t="s">
        <v>214</v>
      </c>
      <c r="B74" s="76" t="str">
        <f aca="false">IF(B11=0,"-",TEXT(ROUND(B73/B11,1),"0.0")&amp;" wks")</f>
        <v>51.9 wks</v>
      </c>
      <c r="C74" s="76" t="str">
        <f aca="false">IF(B11=0,"-",TEXT(ROUND(C73/B11,1),"0.0")&amp;" wks")</f>
        <v>50.1 wks</v>
      </c>
      <c r="D74" s="76" t="str">
        <f aca="false">IF(B11=0,"-",TEXT(ROUND(D73/B11,1),"0.0")&amp;" wks")</f>
        <v>49.5 wks</v>
      </c>
    </row>
    <row r="75" customFormat="false" ht="18" hidden="false" customHeight="true" outlineLevel="0" collapsed="false">
      <c r="A75" s="72" t="s">
        <v>181</v>
      </c>
      <c r="B75" s="72"/>
      <c r="C75" s="72"/>
      <c r="D75" s="72"/>
    </row>
    <row r="76" customFormat="false" ht="16.5" hidden="false" customHeight="true" outlineLevel="0" collapsed="false">
      <c r="A76" s="56" t="s">
        <v>215</v>
      </c>
      <c r="B76" s="73" t="n">
        <f aca="false">B8*B44*B45*0.5</f>
        <v>0</v>
      </c>
      <c r="C76" s="74" t="n">
        <f aca="false">B8*B44*B45</f>
        <v>0</v>
      </c>
      <c r="D76" s="75" t="n">
        <f aca="false">B8*B44*B45*1.5</f>
        <v>0</v>
      </c>
    </row>
    <row r="77" customFormat="false" ht="16.5" hidden="false" customHeight="true" outlineLevel="0" collapsed="false">
      <c r="A77" s="59" t="s">
        <v>216</v>
      </c>
      <c r="B77" s="80" t="n">
        <f aca="false">B7-B76/B6</f>
        <v>1</v>
      </c>
      <c r="C77" s="80" t="n">
        <f aca="false">B7-C76/B6</f>
        <v>1</v>
      </c>
      <c r="D77" s="80" t="n">
        <f aca="false">B7-D76/B6</f>
        <v>1</v>
      </c>
    </row>
    <row r="78" customFormat="false" ht="16.5" hidden="false" customHeight="true" outlineLevel="0" collapsed="false">
      <c r="A78" s="56" t="s">
        <v>217</v>
      </c>
      <c r="B78" s="73" t="n">
        <f aca="false">B6/52*MAX(0,B46-B47)*0.5</f>
        <v>500000</v>
      </c>
      <c r="C78" s="74" t="n">
        <f aca="false">B6/52*MAX(0,B46-B47)</f>
        <v>1000000</v>
      </c>
      <c r="D78" s="75" t="n">
        <f aca="false">B6/52*MAX(0,B46-B47)*1.5</f>
        <v>1500000</v>
      </c>
    </row>
    <row r="79" customFormat="false" ht="16.5" hidden="false" customHeight="true" outlineLevel="0" collapsed="false">
      <c r="A79" s="56" t="s">
        <v>218</v>
      </c>
      <c r="B79" s="77" t="str">
        <f aca="false">IF(B47&gt;=B46,"YES","NO - "&amp;TEXT(B46-B47,"0")&amp;" wk gap")</f>
        <v>NO - 2 wk gap</v>
      </c>
      <c r="C79" s="78" t="str">
        <f aca="false">IF(B47&gt;=B46,"YES","NO - "&amp;TEXT(B46-B47,"0")&amp;" wk gap")</f>
        <v>NO - 2 wk gap</v>
      </c>
      <c r="D79" s="79" t="str">
        <f aca="false">IF(B47&gt;=B46,"YES","NO - "&amp;TEXT(B46-B47,"0")&amp;" wk gap")</f>
        <v>NO - 2 wk gap</v>
      </c>
    </row>
    <row r="81" customFormat="false" ht="21.75" hidden="false" customHeight="true" outlineLevel="0" collapsed="false">
      <c r="A81" s="54" t="s">
        <v>219</v>
      </c>
      <c r="B81" s="54"/>
      <c r="C81" s="54"/>
      <c r="D81" s="54"/>
      <c r="E81" s="54"/>
      <c r="F81" s="54"/>
      <c r="G81" s="54"/>
      <c r="H81" s="54"/>
      <c r="I81" s="54"/>
      <c r="J81" s="54"/>
    </row>
    <row r="82" customFormat="false" ht="18" hidden="false" customHeight="true" outlineLevel="0" collapsed="false">
      <c r="A82" s="82" t="s">
        <v>220</v>
      </c>
      <c r="B82" s="82" t="s">
        <v>221</v>
      </c>
      <c r="C82" s="82" t="s">
        <v>222</v>
      </c>
      <c r="D82" s="82" t="s">
        <v>223</v>
      </c>
    </row>
    <row r="83" customFormat="false" ht="18" hidden="false" customHeight="true" outlineLevel="0" collapsed="false">
      <c r="A83" s="56" t="s">
        <v>224</v>
      </c>
      <c r="B83" s="83" t="str">
        <f aca="false">"Runway: "&amp;C56</f>
        <v>Runway: No shortfall</v>
      </c>
      <c r="C83" s="84" t="str">
        <f aca="false">IF(ISERROR(VALUE(LEFT(C56,3))),"GREEN",IF(VALUE(LEFT(C56,3))&gt;=8,"GREEN",IF(VALUE(LEFT(C56,3))&gt;=4,"AMBER","RED")))</f>
        <v>GREEN</v>
      </c>
      <c r="D83" s="85" t="s">
        <v>225</v>
      </c>
      <c r="E83" s="85"/>
      <c r="F83" s="85"/>
      <c r="G83" s="85"/>
      <c r="H83" s="85"/>
      <c r="I83" s="85"/>
      <c r="J83" s="85"/>
    </row>
    <row r="84" customFormat="false" ht="18" hidden="false" customHeight="true" outlineLevel="0" collapsed="false">
      <c r="A84" s="56" t="s">
        <v>226</v>
      </c>
      <c r="B84" s="83" t="str">
        <f aca="false">"Runway: "&amp;C63</f>
        <v>Runway: No shortfall</v>
      </c>
      <c r="C84" s="84" t="str">
        <f aca="false">IF(ISERROR(VALUE(LEFT(C63,3))),"GREEN",IF(VALUE(LEFT(C63,3))&gt;=8,"GREEN",IF(VALUE(LEFT(C63,3))&gt;=4,"AMBER","RED")))</f>
        <v>GREEN</v>
      </c>
      <c r="D84" s="85" t="s">
        <v>227</v>
      </c>
      <c r="E84" s="85"/>
      <c r="F84" s="85"/>
      <c r="G84" s="85"/>
      <c r="H84" s="85"/>
      <c r="I84" s="85"/>
      <c r="J84" s="85"/>
    </row>
    <row r="85" customFormat="false" ht="18" hidden="false" customHeight="true" outlineLevel="0" collapsed="false">
      <c r="A85" s="56" t="s">
        <v>228</v>
      </c>
      <c r="B85" s="83" t="str">
        <f aca="false">"New margin: "&amp;TEXT(C70,"0.0%")</f>
        <v>New margin: 100.0%</v>
      </c>
      <c r="C85" s="84" t="str">
        <f aca="false">IF(C70&gt;=B7-0.03,"GREEN",IF(C70&gt;=B7-0.07,"AMBER","RED"))</f>
        <v>GREEN</v>
      </c>
      <c r="D85" s="85" t="s">
        <v>229</v>
      </c>
      <c r="E85" s="85"/>
      <c r="F85" s="85"/>
      <c r="G85" s="85"/>
      <c r="H85" s="85"/>
      <c r="I85" s="85"/>
      <c r="J85" s="85"/>
    </row>
    <row r="86" customFormat="false" ht="18" hidden="false" customHeight="true" outlineLevel="0" collapsed="false">
      <c r="A86" s="56" t="s">
        <v>230</v>
      </c>
      <c r="B86" s="83" t="str">
        <f aca="false">"Post-shock runway: "&amp;C74</f>
        <v>Post-shock runway: 50.1 wks</v>
      </c>
      <c r="C86" s="84" t="str">
        <f aca="false">IF(ISERROR(VALUE(LEFT(C74,3))),"GREEN",IF(VALUE(LEFT(C74,3))&gt;=8,"GREEN",IF(VALUE(LEFT(C74,3))&gt;=4,"AMBER","RED")))</f>
        <v>GREEN</v>
      </c>
      <c r="D86" s="85" t="s">
        <v>231</v>
      </c>
      <c r="E86" s="85"/>
      <c r="F86" s="85"/>
      <c r="G86" s="85"/>
      <c r="H86" s="85"/>
      <c r="I86" s="85"/>
      <c r="J86" s="85"/>
    </row>
    <row r="87" customFormat="false" ht="18" hidden="false" customHeight="true" outlineLevel="0" collapsed="false">
      <c r="A87" s="56" t="s">
        <v>232</v>
      </c>
      <c r="B87" s="83" t="str">
        <f aca="false">"Safety stock: "&amp;C79</f>
        <v>Safety stock: NO - 2 wk gap</v>
      </c>
      <c r="C87" s="84" t="str">
        <f aca="false">IF(B47&gt;=B46,"GREEN",IF(B47&gt;=B46*0.75,"AMBER","RED"))</f>
        <v>RED</v>
      </c>
      <c r="D87" s="85" t="s">
        <v>233</v>
      </c>
      <c r="E87" s="85"/>
      <c r="F87" s="85"/>
      <c r="G87" s="85"/>
      <c r="H87" s="85"/>
      <c r="I87" s="85"/>
      <c r="J87" s="85"/>
    </row>
  </sheetData>
  <sheetProtection sheet="true" password="ce4b" formatCells="false" formatColumns="false" formatRows="false" insertColumns="false" insertRows="false" deleteColumns="false" deleteRows="false" selectLockedCells="true" selectUnlockedCells="true"/>
  <mergeCells count="42">
    <mergeCell ref="A1:J1"/>
    <mergeCell ref="A2:J2"/>
    <mergeCell ref="A4:J4"/>
    <mergeCell ref="A5:J5"/>
    <mergeCell ref="A14:J14"/>
    <mergeCell ref="A18:J18"/>
    <mergeCell ref="C23:J23"/>
    <mergeCell ref="A25:J25"/>
    <mergeCell ref="A26:J26"/>
    <mergeCell ref="C27:J27"/>
    <mergeCell ref="C28:J28"/>
    <mergeCell ref="C29:J29"/>
    <mergeCell ref="C30:J30"/>
    <mergeCell ref="A31:J31"/>
    <mergeCell ref="C32:J32"/>
    <mergeCell ref="C33:J33"/>
    <mergeCell ref="C34:J34"/>
    <mergeCell ref="A35:J35"/>
    <mergeCell ref="C36:J36"/>
    <mergeCell ref="C37:J37"/>
    <mergeCell ref="C38:J38"/>
    <mergeCell ref="A39:J39"/>
    <mergeCell ref="C40:J40"/>
    <mergeCell ref="C41:J41"/>
    <mergeCell ref="C42:J42"/>
    <mergeCell ref="A43:J43"/>
    <mergeCell ref="C44:J44"/>
    <mergeCell ref="C45:J45"/>
    <mergeCell ref="C46:J46"/>
    <mergeCell ref="C47:J47"/>
    <mergeCell ref="A49:J49"/>
    <mergeCell ref="A51:D51"/>
    <mergeCell ref="A59:D59"/>
    <mergeCell ref="A64:D64"/>
    <mergeCell ref="A71:D71"/>
    <mergeCell ref="A75:D75"/>
    <mergeCell ref="A81:J81"/>
    <mergeCell ref="D83:J83"/>
    <mergeCell ref="D84:J84"/>
    <mergeCell ref="D85:J85"/>
    <mergeCell ref="D86:J86"/>
    <mergeCell ref="D87:J8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2026-03-09T20:26:37Z</dcterms:created>
  <dc:creator>openpyxl</dc:creator>
  <dc:description/>
  <dc:language>en-US</dc:language>
  <cp:lastModifiedBy>Adina Fetche</cp:lastModifiedBy>
  <dcterms:modified xsi:type="dcterms:W3CDTF">2026-03-15T15:56:01Z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